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09B49454-C752-411B-895C-C84A4AD2EB36}" xr6:coauthVersionLast="45" xr6:coauthVersionMax="45" xr10:uidLastSave="{00000000-0000-0000-0000-000000000000}"/>
  <bookViews>
    <workbookView xWindow="-120" yWindow="-120" windowWidth="29040" windowHeight="15840" tabRatio="572" activeTab="2" xr2:uid="{00000000-000D-0000-FFFF-FFFF00000000}"/>
  </bookViews>
  <sheets>
    <sheet name=" Приложение № 1 2025г" sheetId="8" r:id="rId1"/>
    <sheet name="Приложение № 1 2026г" sheetId="9" r:id="rId2"/>
    <sheet name="Приложение № 1 2027г" sheetId="10" r:id="rId3"/>
  </sheets>
  <definedNames>
    <definedName name="_xlnm._FilterDatabase" localSheetId="0" hidden="1">' Приложение № 1 2025г'!$A$7:$L$84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9" i="10" l="1"/>
  <c r="G28" i="10"/>
  <c r="G27" i="10"/>
  <c r="G26" i="10"/>
  <c r="G25" i="10"/>
  <c r="G24" i="10"/>
  <c r="G74" i="10"/>
  <c r="G70" i="10"/>
  <c r="G68" i="10"/>
  <c r="G66" i="10"/>
  <c r="G64" i="10"/>
  <c r="G29" i="9"/>
  <c r="G28" i="9"/>
  <c r="G27" i="9"/>
  <c r="G26" i="9"/>
  <c r="G25" i="9"/>
  <c r="G24" i="9"/>
  <c r="G70" i="9"/>
  <c r="G20" i="8"/>
  <c r="G29" i="8"/>
  <c r="G28" i="8"/>
  <c r="G27" i="8"/>
  <c r="G26" i="8"/>
  <c r="G25" i="8"/>
  <c r="G24" i="8"/>
  <c r="G74" i="8"/>
  <c r="G70" i="8"/>
  <c r="G68" i="8"/>
  <c r="G66" i="8"/>
  <c r="G64" i="8"/>
  <c r="I26" i="8" l="1"/>
  <c r="B71" i="10" l="1"/>
  <c r="B71" i="9"/>
  <c r="H74" i="10" l="1"/>
  <c r="H68" i="10"/>
  <c r="H66" i="9"/>
  <c r="H66" i="10"/>
  <c r="H74" i="9" l="1"/>
  <c r="H68" i="9"/>
  <c r="H74" i="8"/>
  <c r="H66" i="8"/>
  <c r="H68" i="8" l="1"/>
  <c r="F74" i="9" l="1"/>
  <c r="G74" i="9" s="1"/>
  <c r="F68" i="9"/>
  <c r="G68" i="9" s="1"/>
  <c r="F66" i="9"/>
  <c r="G66" i="9" s="1"/>
  <c r="H64" i="9"/>
  <c r="F64" i="9"/>
  <c r="G64" i="9" s="1"/>
  <c r="H26" i="9"/>
  <c r="H27" i="9"/>
  <c r="H28" i="9"/>
  <c r="H29" i="9"/>
  <c r="H25" i="9"/>
  <c r="I64" i="8" l="1"/>
  <c r="L81" i="9" l="1"/>
  <c r="L81" i="8" l="1"/>
  <c r="L84" i="8" l="1"/>
  <c r="O76" i="10" l="1"/>
  <c r="G75" i="10"/>
  <c r="F75" i="10"/>
  <c r="H75" i="10"/>
  <c r="L75" i="10"/>
  <c r="B75" i="10"/>
  <c r="O76" i="9"/>
  <c r="G76" i="9"/>
  <c r="G75" i="9" s="1"/>
  <c r="H75" i="9"/>
  <c r="L75" i="9"/>
  <c r="F75" i="9"/>
  <c r="B75" i="9"/>
  <c r="O76" i="8"/>
  <c r="G76" i="8"/>
  <c r="I76" i="8" s="1"/>
  <c r="H75" i="8"/>
  <c r="F75" i="8"/>
  <c r="B75" i="8"/>
  <c r="I75" i="8" l="1"/>
  <c r="K76" i="8"/>
  <c r="I76" i="10"/>
  <c r="I76" i="9"/>
  <c r="G75" i="8"/>
  <c r="I75" i="10" l="1"/>
  <c r="J75" i="10" s="1"/>
  <c r="J76" i="10"/>
  <c r="K76" i="10" s="1"/>
  <c r="I75" i="9"/>
  <c r="J75" i="9" s="1"/>
  <c r="J76" i="9"/>
  <c r="K76" i="9" s="1"/>
  <c r="M76" i="10"/>
  <c r="M76" i="9"/>
  <c r="M76" i="8"/>
  <c r="C75" i="10"/>
  <c r="C75" i="9"/>
  <c r="C75" i="8"/>
  <c r="I66" i="10"/>
  <c r="J66" i="10" s="1"/>
  <c r="K66" i="10" s="1"/>
  <c r="I64" i="10"/>
  <c r="I70" i="10"/>
  <c r="I84" i="10" s="1"/>
  <c r="I74" i="9"/>
  <c r="M75" i="10" l="1"/>
  <c r="O75" i="10"/>
  <c r="M75" i="9"/>
  <c r="O75" i="9"/>
  <c r="M75" i="8"/>
  <c r="O75" i="8"/>
  <c r="I72" i="10" l="1"/>
  <c r="I72" i="9"/>
  <c r="I66" i="9"/>
  <c r="I72" i="8" l="1"/>
  <c r="I66" i="8"/>
  <c r="H25" i="10" l="1"/>
  <c r="H26" i="10"/>
  <c r="H27" i="10"/>
  <c r="H28" i="10"/>
  <c r="H29" i="10"/>
  <c r="H24" i="9"/>
  <c r="H24" i="10" s="1"/>
  <c r="F23" i="8"/>
  <c r="H20" i="9"/>
  <c r="H20" i="10" s="1"/>
  <c r="F20" i="9"/>
  <c r="G20" i="9" s="1"/>
  <c r="F28" i="10" l="1"/>
  <c r="F20" i="10"/>
  <c r="G20" i="10" s="1"/>
  <c r="F27" i="10"/>
  <c r="F26" i="10"/>
  <c r="F24" i="10"/>
  <c r="F29" i="10"/>
  <c r="F25" i="10"/>
  <c r="I27" i="8"/>
  <c r="I56" i="10"/>
  <c r="I56" i="9" l="1"/>
  <c r="O9" i="8" l="1"/>
  <c r="I56" i="8"/>
  <c r="I53" i="8"/>
  <c r="L84" i="10" l="1"/>
  <c r="L83" i="10"/>
  <c r="L82" i="10"/>
  <c r="L81" i="10"/>
  <c r="L80" i="10"/>
  <c r="L79" i="10"/>
  <c r="L78" i="10"/>
  <c r="L77" i="10"/>
  <c r="O74" i="10"/>
  <c r="M74" i="10"/>
  <c r="I74" i="10"/>
  <c r="J74" i="10" s="1"/>
  <c r="K74" i="10" s="1"/>
  <c r="H73" i="10"/>
  <c r="G73" i="10"/>
  <c r="F73" i="10"/>
  <c r="O72" i="10"/>
  <c r="M72" i="10"/>
  <c r="J72" i="10"/>
  <c r="K72" i="10" s="1"/>
  <c r="I71" i="10"/>
  <c r="H71" i="10"/>
  <c r="G71" i="10"/>
  <c r="F71" i="10"/>
  <c r="O71" i="10" s="1"/>
  <c r="O70" i="10"/>
  <c r="M70" i="10"/>
  <c r="H69" i="10"/>
  <c r="G69" i="10"/>
  <c r="F69" i="10"/>
  <c r="O69" i="10" s="1"/>
  <c r="O68" i="10"/>
  <c r="M68" i="10"/>
  <c r="I68" i="10"/>
  <c r="J68" i="10" s="1"/>
  <c r="K68" i="10" s="1"/>
  <c r="H67" i="10"/>
  <c r="G67" i="10"/>
  <c r="F67" i="10"/>
  <c r="O66" i="10"/>
  <c r="M66" i="10"/>
  <c r="I65" i="10"/>
  <c r="J65" i="10" s="1"/>
  <c r="H65" i="10"/>
  <c r="G65" i="10"/>
  <c r="F65" i="10"/>
  <c r="O64" i="10"/>
  <c r="M64" i="10"/>
  <c r="J64" i="10"/>
  <c r="K64" i="10" s="1"/>
  <c r="H63" i="10"/>
  <c r="G63" i="10"/>
  <c r="F63" i="10"/>
  <c r="O63" i="10"/>
  <c r="O62" i="10"/>
  <c r="M62" i="10"/>
  <c r="I62" i="10"/>
  <c r="K62" i="10" s="1"/>
  <c r="O61" i="10"/>
  <c r="M61" i="10"/>
  <c r="I61" i="10"/>
  <c r="K61" i="10" s="1"/>
  <c r="O60" i="10"/>
  <c r="M60" i="10"/>
  <c r="I60" i="10"/>
  <c r="K60" i="10" s="1"/>
  <c r="H59" i="10"/>
  <c r="G59" i="10"/>
  <c r="F59" i="10"/>
  <c r="O58" i="10"/>
  <c r="M58" i="10"/>
  <c r="I58" i="10"/>
  <c r="K58" i="10" s="1"/>
  <c r="O57" i="10"/>
  <c r="H57" i="10"/>
  <c r="G57" i="10"/>
  <c r="F57" i="10"/>
  <c r="O56" i="10"/>
  <c r="M56" i="10"/>
  <c r="K56" i="10"/>
  <c r="I55" i="10"/>
  <c r="J55" i="10" s="1"/>
  <c r="H55" i="10"/>
  <c r="G55" i="10"/>
  <c r="F55" i="10"/>
  <c r="O55" i="10"/>
  <c r="O54" i="10"/>
  <c r="M54" i="10"/>
  <c r="I54" i="10"/>
  <c r="K54" i="10" s="1"/>
  <c r="O53" i="10"/>
  <c r="M53" i="10"/>
  <c r="I53" i="10"/>
  <c r="K53" i="10" s="1"/>
  <c r="H52" i="10"/>
  <c r="G52" i="10"/>
  <c r="F52" i="10"/>
  <c r="O51" i="10"/>
  <c r="M51" i="10"/>
  <c r="I51" i="10"/>
  <c r="O50" i="10"/>
  <c r="M50" i="10"/>
  <c r="I50" i="10"/>
  <c r="K50" i="10" s="1"/>
  <c r="O49" i="10"/>
  <c r="M49" i="10"/>
  <c r="I49" i="10"/>
  <c r="O48" i="10"/>
  <c r="M48" i="10"/>
  <c r="I48" i="10"/>
  <c r="K48" i="10" s="1"/>
  <c r="O47" i="10"/>
  <c r="H47" i="10"/>
  <c r="G47" i="10"/>
  <c r="M47" i="10" s="1"/>
  <c r="F47" i="10"/>
  <c r="O46" i="10"/>
  <c r="M46" i="10"/>
  <c r="I46" i="10"/>
  <c r="K46" i="10" s="1"/>
  <c r="O45" i="10"/>
  <c r="M45" i="10"/>
  <c r="I45" i="10"/>
  <c r="K45" i="10" s="1"/>
  <c r="O44" i="10"/>
  <c r="M44" i="10"/>
  <c r="I44" i="10"/>
  <c r="K44" i="10" s="1"/>
  <c r="H43" i="10"/>
  <c r="G43" i="10"/>
  <c r="F43" i="10"/>
  <c r="O42" i="10"/>
  <c r="M42" i="10"/>
  <c r="I42" i="10"/>
  <c r="K42" i="10" s="1"/>
  <c r="O41" i="10"/>
  <c r="M41" i="10"/>
  <c r="I41" i="10"/>
  <c r="K41" i="10" s="1"/>
  <c r="O40" i="10"/>
  <c r="M40" i="10"/>
  <c r="I40" i="10"/>
  <c r="K40" i="10" s="1"/>
  <c r="O39" i="10"/>
  <c r="M39" i="10"/>
  <c r="I39" i="10"/>
  <c r="K39" i="10" s="1"/>
  <c r="O38" i="10"/>
  <c r="M38" i="10"/>
  <c r="I38" i="10"/>
  <c r="K38" i="10" s="1"/>
  <c r="O37" i="10"/>
  <c r="M37" i="10"/>
  <c r="I37" i="10"/>
  <c r="K37" i="10" s="1"/>
  <c r="H36" i="10"/>
  <c r="G36" i="10"/>
  <c r="F36" i="10"/>
  <c r="O36" i="10" s="1"/>
  <c r="O35" i="10"/>
  <c r="M35" i="10"/>
  <c r="I35" i="10"/>
  <c r="K35" i="10" s="1"/>
  <c r="O34" i="10"/>
  <c r="M34" i="10"/>
  <c r="I34" i="10"/>
  <c r="O33" i="10"/>
  <c r="M33" i="10"/>
  <c r="I33" i="10"/>
  <c r="K33" i="10" s="1"/>
  <c r="O32" i="10"/>
  <c r="M32" i="10"/>
  <c r="I32" i="10"/>
  <c r="K32" i="10" s="1"/>
  <c r="O31" i="10"/>
  <c r="M31" i="10"/>
  <c r="I31" i="10"/>
  <c r="K31" i="10" s="1"/>
  <c r="H30" i="10"/>
  <c r="G30" i="10"/>
  <c r="F30" i="10"/>
  <c r="O29" i="10"/>
  <c r="M29" i="10"/>
  <c r="I29" i="10"/>
  <c r="O28" i="10"/>
  <c r="M28" i="10"/>
  <c r="I28" i="10"/>
  <c r="O27" i="10"/>
  <c r="M27" i="10"/>
  <c r="I27" i="10"/>
  <c r="K27" i="10" s="1"/>
  <c r="O26" i="10"/>
  <c r="M26" i="10"/>
  <c r="I26" i="10"/>
  <c r="O25" i="10"/>
  <c r="M25" i="10"/>
  <c r="I25" i="10"/>
  <c r="O24" i="10"/>
  <c r="M24" i="10"/>
  <c r="I24" i="10"/>
  <c r="H23" i="10"/>
  <c r="G23" i="10"/>
  <c r="F23" i="10"/>
  <c r="O22" i="10"/>
  <c r="M22" i="10"/>
  <c r="I22" i="10"/>
  <c r="H21" i="10"/>
  <c r="G21" i="10"/>
  <c r="F21" i="10"/>
  <c r="O21" i="10"/>
  <c r="O20" i="10"/>
  <c r="M20" i="10"/>
  <c r="I20" i="10"/>
  <c r="K20" i="10" s="1"/>
  <c r="O19" i="10"/>
  <c r="M19" i="10"/>
  <c r="I19" i="10"/>
  <c r="K19" i="10" s="1"/>
  <c r="O18" i="10"/>
  <c r="M18" i="10"/>
  <c r="I18" i="10"/>
  <c r="K18" i="10" s="1"/>
  <c r="O17" i="10"/>
  <c r="M17" i="10"/>
  <c r="I17" i="10"/>
  <c r="K17" i="10" s="1"/>
  <c r="O16" i="10"/>
  <c r="M16" i="10"/>
  <c r="I16" i="10"/>
  <c r="K16" i="10" s="1"/>
  <c r="H15" i="10"/>
  <c r="G15" i="10"/>
  <c r="F15" i="10"/>
  <c r="O14" i="10"/>
  <c r="M14" i="10"/>
  <c r="I14" i="10"/>
  <c r="O13" i="10"/>
  <c r="M13" i="10"/>
  <c r="I13" i="10"/>
  <c r="O12" i="10"/>
  <c r="M12" i="10"/>
  <c r="I12" i="10"/>
  <c r="K12" i="10" s="1"/>
  <c r="O11" i="10"/>
  <c r="M11" i="10"/>
  <c r="I11" i="10"/>
  <c r="O10" i="10"/>
  <c r="M10" i="10"/>
  <c r="I10" i="10"/>
  <c r="O9" i="10"/>
  <c r="M9" i="10"/>
  <c r="I9" i="10"/>
  <c r="K9" i="10" s="1"/>
  <c r="H8" i="10"/>
  <c r="G8" i="10"/>
  <c r="F8" i="10"/>
  <c r="O8" i="10"/>
  <c r="L84" i="9"/>
  <c r="L83" i="9"/>
  <c r="L82" i="9"/>
  <c r="L80" i="9"/>
  <c r="L79" i="9"/>
  <c r="L78" i="9"/>
  <c r="L77" i="9"/>
  <c r="O74" i="9"/>
  <c r="M74" i="9"/>
  <c r="J74" i="9"/>
  <c r="K74" i="9" s="1"/>
  <c r="H73" i="9"/>
  <c r="G73" i="9"/>
  <c r="F73" i="9"/>
  <c r="O73" i="9" s="1"/>
  <c r="O72" i="9"/>
  <c r="M72" i="9"/>
  <c r="J72" i="9"/>
  <c r="K72" i="9" s="1"/>
  <c r="I71" i="9"/>
  <c r="H71" i="9"/>
  <c r="G71" i="9"/>
  <c r="F71" i="9"/>
  <c r="O70" i="9"/>
  <c r="M70" i="9"/>
  <c r="I70" i="9"/>
  <c r="I84" i="9" s="1"/>
  <c r="H69" i="9"/>
  <c r="G69" i="9"/>
  <c r="F69" i="9"/>
  <c r="O69" i="9"/>
  <c r="O68" i="9"/>
  <c r="M68" i="9"/>
  <c r="I68" i="9"/>
  <c r="J68" i="9" s="1"/>
  <c r="K68" i="9" s="1"/>
  <c r="H67" i="9"/>
  <c r="G67" i="9"/>
  <c r="F67" i="9"/>
  <c r="O66" i="9"/>
  <c r="M66" i="9"/>
  <c r="J66" i="9"/>
  <c r="K66" i="9" s="1"/>
  <c r="I65" i="9"/>
  <c r="H65" i="9"/>
  <c r="G65" i="9"/>
  <c r="F65" i="9"/>
  <c r="O65" i="9" s="1"/>
  <c r="O64" i="9"/>
  <c r="M64" i="9"/>
  <c r="I64" i="9"/>
  <c r="J64" i="9" s="1"/>
  <c r="K64" i="9" s="1"/>
  <c r="H63" i="9"/>
  <c r="G63" i="9"/>
  <c r="F63" i="9"/>
  <c r="O62" i="9"/>
  <c r="M62" i="9"/>
  <c r="I62" i="9"/>
  <c r="K62" i="9" s="1"/>
  <c r="O61" i="9"/>
  <c r="M61" i="9"/>
  <c r="I61" i="9"/>
  <c r="O60" i="9"/>
  <c r="M60" i="9"/>
  <c r="I60" i="9"/>
  <c r="H59" i="9"/>
  <c r="G59" i="9"/>
  <c r="F59" i="9"/>
  <c r="O58" i="9"/>
  <c r="M58" i="9"/>
  <c r="I58" i="9"/>
  <c r="I57" i="9" s="1"/>
  <c r="H57" i="9"/>
  <c r="G57" i="9"/>
  <c r="F57" i="9"/>
  <c r="O57" i="9"/>
  <c r="O56" i="9"/>
  <c r="M56" i="9"/>
  <c r="K56" i="9"/>
  <c r="I55" i="9"/>
  <c r="H55" i="9"/>
  <c r="G55" i="9"/>
  <c r="F55" i="9"/>
  <c r="O55" i="9"/>
  <c r="O54" i="9"/>
  <c r="M54" i="9"/>
  <c r="I54" i="9"/>
  <c r="O53" i="9"/>
  <c r="M53" i="9"/>
  <c r="I53" i="9"/>
  <c r="K53" i="9" s="1"/>
  <c r="H52" i="9"/>
  <c r="G52" i="9"/>
  <c r="F52" i="9"/>
  <c r="O51" i="9"/>
  <c r="M51" i="9"/>
  <c r="I51" i="9"/>
  <c r="K51" i="9" s="1"/>
  <c r="O50" i="9"/>
  <c r="M50" i="9"/>
  <c r="I50" i="9"/>
  <c r="K50" i="9" s="1"/>
  <c r="O49" i="9"/>
  <c r="M49" i="9"/>
  <c r="I49" i="9"/>
  <c r="O48" i="9"/>
  <c r="M48" i="9"/>
  <c r="I48" i="9"/>
  <c r="H47" i="9"/>
  <c r="G47" i="9"/>
  <c r="F47" i="9"/>
  <c r="O47" i="9"/>
  <c r="O46" i="9"/>
  <c r="M46" i="9"/>
  <c r="I46" i="9"/>
  <c r="K46" i="9" s="1"/>
  <c r="O45" i="9"/>
  <c r="M45" i="9"/>
  <c r="I45" i="9"/>
  <c r="K45" i="9" s="1"/>
  <c r="O44" i="9"/>
  <c r="M44" i="9"/>
  <c r="I44" i="9"/>
  <c r="H43" i="9"/>
  <c r="G43" i="9"/>
  <c r="F43" i="9"/>
  <c r="O43" i="9"/>
  <c r="O42" i="9"/>
  <c r="M42" i="9"/>
  <c r="I42" i="9"/>
  <c r="K42" i="9" s="1"/>
  <c r="O41" i="9"/>
  <c r="M41" i="9"/>
  <c r="I41" i="9"/>
  <c r="K41" i="9" s="1"/>
  <c r="O40" i="9"/>
  <c r="M40" i="9"/>
  <c r="I40" i="9"/>
  <c r="K40" i="9" s="1"/>
  <c r="O39" i="9"/>
  <c r="M39" i="9"/>
  <c r="I39" i="9"/>
  <c r="K39" i="9" s="1"/>
  <c r="O38" i="9"/>
  <c r="M38" i="9"/>
  <c r="I38" i="9"/>
  <c r="K38" i="9" s="1"/>
  <c r="O37" i="9"/>
  <c r="M37" i="9"/>
  <c r="I37" i="9"/>
  <c r="K37" i="9" s="1"/>
  <c r="H36" i="9"/>
  <c r="G36" i="9"/>
  <c r="F36" i="9"/>
  <c r="O36" i="9"/>
  <c r="O35" i="9"/>
  <c r="M35" i="9"/>
  <c r="I35" i="9"/>
  <c r="K35" i="9" s="1"/>
  <c r="O34" i="9"/>
  <c r="M34" i="9"/>
  <c r="I34" i="9"/>
  <c r="K34" i="9" s="1"/>
  <c r="O33" i="9"/>
  <c r="M33" i="9"/>
  <c r="I33" i="9"/>
  <c r="K33" i="9" s="1"/>
  <c r="O32" i="9"/>
  <c r="M32" i="9"/>
  <c r="I32" i="9"/>
  <c r="O31" i="9"/>
  <c r="M31" i="9"/>
  <c r="I31" i="9"/>
  <c r="K31" i="9" s="1"/>
  <c r="H30" i="9"/>
  <c r="G30" i="9"/>
  <c r="F30" i="9"/>
  <c r="O30" i="9"/>
  <c r="O29" i="9"/>
  <c r="M29" i="9"/>
  <c r="I29" i="9"/>
  <c r="K29" i="9" s="1"/>
  <c r="O28" i="9"/>
  <c r="M28" i="9"/>
  <c r="I28" i="9"/>
  <c r="O27" i="9"/>
  <c r="M27" i="9"/>
  <c r="I27" i="9"/>
  <c r="K27" i="9" s="1"/>
  <c r="O26" i="9"/>
  <c r="M26" i="9"/>
  <c r="I26" i="9"/>
  <c r="K26" i="9" s="1"/>
  <c r="O25" i="9"/>
  <c r="M25" i="9"/>
  <c r="I25" i="9"/>
  <c r="K25" i="9" s="1"/>
  <c r="O24" i="9"/>
  <c r="M24" i="9"/>
  <c r="I24" i="9"/>
  <c r="K24" i="9" s="1"/>
  <c r="H23" i="9"/>
  <c r="G23" i="9"/>
  <c r="F23" i="9"/>
  <c r="O23" i="9" s="1"/>
  <c r="O22" i="9"/>
  <c r="M22" i="9"/>
  <c r="I22" i="9"/>
  <c r="K22" i="9" s="1"/>
  <c r="O21" i="9"/>
  <c r="H21" i="9"/>
  <c r="G21" i="9"/>
  <c r="F21" i="9"/>
  <c r="O20" i="9"/>
  <c r="M20" i="9"/>
  <c r="I20" i="9"/>
  <c r="K20" i="9" s="1"/>
  <c r="O19" i="9"/>
  <c r="M19" i="9"/>
  <c r="I19" i="9"/>
  <c r="K19" i="9" s="1"/>
  <c r="O18" i="9"/>
  <c r="M18" i="9"/>
  <c r="I18" i="9"/>
  <c r="K18" i="9" s="1"/>
  <c r="O17" i="9"/>
  <c r="M17" i="9"/>
  <c r="I17" i="9"/>
  <c r="K17" i="9" s="1"/>
  <c r="O16" i="9"/>
  <c r="M16" i="9"/>
  <c r="I16" i="9"/>
  <c r="H15" i="9"/>
  <c r="G15" i="9"/>
  <c r="F15" i="9"/>
  <c r="O14" i="9"/>
  <c r="M14" i="9"/>
  <c r="I14" i="9"/>
  <c r="K14" i="9" s="1"/>
  <c r="O13" i="9"/>
  <c r="M13" i="9"/>
  <c r="I13" i="9"/>
  <c r="O12" i="9"/>
  <c r="M12" i="9"/>
  <c r="I12" i="9"/>
  <c r="K12" i="9" s="1"/>
  <c r="O11" i="9"/>
  <c r="M11" i="9"/>
  <c r="I11" i="9"/>
  <c r="K11" i="9" s="1"/>
  <c r="O10" i="9"/>
  <c r="M10" i="9"/>
  <c r="I10" i="9"/>
  <c r="O9" i="9"/>
  <c r="M9" i="9"/>
  <c r="I9" i="9"/>
  <c r="H8" i="9"/>
  <c r="G8" i="9"/>
  <c r="F8" i="9"/>
  <c r="O8" i="9"/>
  <c r="K25" i="10" l="1"/>
  <c r="I78" i="10"/>
  <c r="K29" i="10"/>
  <c r="I82" i="10"/>
  <c r="K26" i="10"/>
  <c r="I79" i="10"/>
  <c r="K51" i="10"/>
  <c r="I21" i="10"/>
  <c r="K22" i="10"/>
  <c r="J57" i="9"/>
  <c r="O65" i="10"/>
  <c r="I63" i="9"/>
  <c r="J63" i="9" s="1"/>
  <c r="O43" i="10"/>
  <c r="M57" i="10"/>
  <c r="M36" i="10"/>
  <c r="I63" i="10"/>
  <c r="J63" i="10" s="1"/>
  <c r="M65" i="10"/>
  <c r="L87" i="10"/>
  <c r="M55" i="10"/>
  <c r="O59" i="10"/>
  <c r="J21" i="10"/>
  <c r="J71" i="10"/>
  <c r="O73" i="10"/>
  <c r="M73" i="10"/>
  <c r="M67" i="10"/>
  <c r="M36" i="9"/>
  <c r="M43" i="9"/>
  <c r="M57" i="9"/>
  <c r="M21" i="9"/>
  <c r="I80" i="9"/>
  <c r="M65" i="9"/>
  <c r="O52" i="9"/>
  <c r="M55" i="9"/>
  <c r="O59" i="9"/>
  <c r="L87" i="9"/>
  <c r="O15" i="9"/>
  <c r="M47" i="9"/>
  <c r="I59" i="9"/>
  <c r="J59" i="9" s="1"/>
  <c r="O63" i="9"/>
  <c r="I69" i="9"/>
  <c r="J69" i="9" s="1"/>
  <c r="I73" i="9"/>
  <c r="J73" i="9" s="1"/>
  <c r="J71" i="9"/>
  <c r="J55" i="9"/>
  <c r="M67" i="9"/>
  <c r="O71" i="9"/>
  <c r="M69" i="10"/>
  <c r="O67" i="10"/>
  <c r="M63" i="10"/>
  <c r="M73" i="9"/>
  <c r="M69" i="9"/>
  <c r="J70" i="9"/>
  <c r="K70" i="9" s="1"/>
  <c r="O67" i="9"/>
  <c r="J65" i="9"/>
  <c r="M63" i="9"/>
  <c r="K28" i="10"/>
  <c r="I81" i="10"/>
  <c r="K24" i="10"/>
  <c r="I77" i="10"/>
  <c r="O23" i="10"/>
  <c r="O15" i="10"/>
  <c r="K28" i="9"/>
  <c r="I81" i="9"/>
  <c r="I83" i="10"/>
  <c r="M15" i="10"/>
  <c r="K14" i="10"/>
  <c r="I15" i="10"/>
  <c r="J15" i="10" s="1"/>
  <c r="I80" i="10"/>
  <c r="M52" i="10"/>
  <c r="K11" i="10"/>
  <c r="I23" i="10"/>
  <c r="J23" i="10" s="1"/>
  <c r="M21" i="10"/>
  <c r="M43" i="10"/>
  <c r="M30" i="10"/>
  <c r="M23" i="10"/>
  <c r="M8" i="10"/>
  <c r="I15" i="9"/>
  <c r="J15" i="9" s="1"/>
  <c r="I83" i="9"/>
  <c r="K58" i="9"/>
  <c r="M30" i="9"/>
  <c r="K48" i="9"/>
  <c r="K60" i="9"/>
  <c r="I78" i="9"/>
  <c r="K16" i="9"/>
  <c r="M15" i="9"/>
  <c r="K9" i="9"/>
  <c r="I77" i="9"/>
  <c r="K44" i="9"/>
  <c r="I52" i="9"/>
  <c r="J52" i="9" s="1"/>
  <c r="I30" i="9"/>
  <c r="J30" i="9" s="1"/>
  <c r="I23" i="9"/>
  <c r="J23" i="9" s="1"/>
  <c r="M23" i="9"/>
  <c r="M8" i="9"/>
  <c r="M59" i="10"/>
  <c r="M71" i="10"/>
  <c r="K10" i="10"/>
  <c r="K13" i="10"/>
  <c r="O30" i="10"/>
  <c r="O52" i="10"/>
  <c r="I67" i="10"/>
  <c r="J67" i="10" s="1"/>
  <c r="I36" i="10"/>
  <c r="J36" i="10" s="1"/>
  <c r="I47" i="10"/>
  <c r="J47" i="10" s="1"/>
  <c r="I57" i="10"/>
  <c r="J57" i="10" s="1"/>
  <c r="I69" i="10"/>
  <c r="J69" i="10" s="1"/>
  <c r="J70" i="10"/>
  <c r="K70" i="10" s="1"/>
  <c r="I8" i="10"/>
  <c r="J8" i="10" s="1"/>
  <c r="I30" i="10"/>
  <c r="J30" i="10" s="1"/>
  <c r="I52" i="10"/>
  <c r="J52" i="10" s="1"/>
  <c r="I59" i="10"/>
  <c r="J59" i="10" s="1"/>
  <c r="I73" i="10"/>
  <c r="J73" i="10" s="1"/>
  <c r="I43" i="10"/>
  <c r="J43" i="10" s="1"/>
  <c r="M52" i="9"/>
  <c r="M59" i="9"/>
  <c r="M71" i="9"/>
  <c r="K10" i="9"/>
  <c r="K13" i="9"/>
  <c r="K32" i="9"/>
  <c r="K54" i="9"/>
  <c r="K61" i="9"/>
  <c r="I67" i="9"/>
  <c r="J67" i="9" s="1"/>
  <c r="I36" i="9"/>
  <c r="J36" i="9" s="1"/>
  <c r="I47" i="9"/>
  <c r="J47" i="9" s="1"/>
  <c r="I8" i="9"/>
  <c r="J8" i="9" s="1"/>
  <c r="I79" i="9"/>
  <c r="I82" i="9"/>
  <c r="I21" i="9"/>
  <c r="J21" i="9" s="1"/>
  <c r="I43" i="9"/>
  <c r="J43" i="9" s="1"/>
  <c r="I87" i="10" l="1"/>
  <c r="I87" i="9"/>
  <c r="M49" i="8"/>
  <c r="O49" i="8"/>
  <c r="I49" i="8"/>
  <c r="M74" i="8"/>
  <c r="G8" i="8"/>
  <c r="L52" i="8" l="1"/>
  <c r="J56" i="8" l="1"/>
  <c r="K56" i="8" s="1"/>
  <c r="J66" i="8"/>
  <c r="K66" i="8" s="1"/>
  <c r="J72" i="8"/>
  <c r="K72" i="8" s="1"/>
  <c r="L77" i="8"/>
  <c r="L78" i="8"/>
  <c r="L79" i="8"/>
  <c r="L80" i="8"/>
  <c r="L82" i="8"/>
  <c r="L83" i="8"/>
  <c r="L87" i="8" l="1"/>
  <c r="I70" i="8" l="1"/>
  <c r="J70" i="8" s="1"/>
  <c r="K70" i="8" s="1"/>
  <c r="G52" i="8" l="1"/>
  <c r="I74" i="8" l="1"/>
  <c r="O74" i="8"/>
  <c r="M70" i="8"/>
  <c r="I84" i="8"/>
  <c r="J74" i="8" l="1"/>
  <c r="K74" i="8" s="1"/>
  <c r="I73" i="8"/>
  <c r="I68" i="8"/>
  <c r="J68" i="8" s="1"/>
  <c r="K68" i="8" s="1"/>
  <c r="I71" i="8"/>
  <c r="I69" i="8"/>
  <c r="I65" i="8"/>
  <c r="I60" i="8"/>
  <c r="K60" i="8" s="1"/>
  <c r="G71" i="8"/>
  <c r="G69" i="8"/>
  <c r="G67" i="8"/>
  <c r="G65" i="8"/>
  <c r="G63" i="8"/>
  <c r="O10" i="8"/>
  <c r="O11" i="8"/>
  <c r="O12" i="8"/>
  <c r="O13" i="8"/>
  <c r="O14" i="8"/>
  <c r="O16" i="8"/>
  <c r="O17" i="8"/>
  <c r="O18" i="8"/>
  <c r="O19" i="8"/>
  <c r="O20" i="8"/>
  <c r="O22" i="8"/>
  <c r="O31" i="8"/>
  <c r="O32" i="8"/>
  <c r="O33" i="8"/>
  <c r="O34" i="8"/>
  <c r="O35" i="8"/>
  <c r="O37" i="8"/>
  <c r="O38" i="8"/>
  <c r="O39" i="8"/>
  <c r="O40" i="8"/>
  <c r="O41" i="8"/>
  <c r="O42" i="8"/>
  <c r="O44" i="8"/>
  <c r="O45" i="8"/>
  <c r="O46" i="8"/>
  <c r="O48" i="8"/>
  <c r="O50" i="8"/>
  <c r="O51" i="8"/>
  <c r="O53" i="8"/>
  <c r="O54" i="8"/>
  <c r="O56" i="8"/>
  <c r="O58" i="8"/>
  <c r="O60" i="8"/>
  <c r="O61" i="8"/>
  <c r="O62" i="8"/>
  <c r="O64" i="8"/>
  <c r="O66" i="8"/>
  <c r="O68" i="8"/>
  <c r="O70" i="8"/>
  <c r="O72" i="8"/>
  <c r="M31" i="8"/>
  <c r="M32" i="8"/>
  <c r="M33" i="8"/>
  <c r="M34" i="8"/>
  <c r="M35" i="8"/>
  <c r="M37" i="8"/>
  <c r="M38" i="8"/>
  <c r="M39" i="8"/>
  <c r="M40" i="8"/>
  <c r="M41" i="8"/>
  <c r="M42" i="8"/>
  <c r="M44" i="8"/>
  <c r="M45" i="8"/>
  <c r="M46" i="8"/>
  <c r="M48" i="8"/>
  <c r="M50" i="8"/>
  <c r="M51" i="8"/>
  <c r="M53" i="8"/>
  <c r="M54" i="8"/>
  <c r="M56" i="8"/>
  <c r="M58" i="8"/>
  <c r="M60" i="8"/>
  <c r="M61" i="8"/>
  <c r="M62" i="8"/>
  <c r="M64" i="8"/>
  <c r="M66" i="8"/>
  <c r="M68" i="8"/>
  <c r="M72" i="8"/>
  <c r="M16" i="8"/>
  <c r="M17" i="8"/>
  <c r="M18" i="8"/>
  <c r="M19" i="8"/>
  <c r="M20" i="8"/>
  <c r="M22" i="8"/>
  <c r="M14" i="8"/>
  <c r="M13" i="8"/>
  <c r="M12" i="8"/>
  <c r="M11" i="8"/>
  <c r="M10" i="8"/>
  <c r="M9" i="8"/>
  <c r="M28" i="8"/>
  <c r="M27" i="8"/>
  <c r="I54" i="8"/>
  <c r="K54" i="8" s="1"/>
  <c r="O25" i="8"/>
  <c r="O26" i="8"/>
  <c r="O27" i="8"/>
  <c r="O28" i="8"/>
  <c r="O29" i="8"/>
  <c r="M25" i="8"/>
  <c r="O24" i="8"/>
  <c r="M26" i="8"/>
  <c r="M29" i="8"/>
  <c r="M24" i="8"/>
  <c r="I67" i="8" l="1"/>
  <c r="I63" i="8"/>
  <c r="J64" i="8"/>
  <c r="K64" i="8" s="1"/>
  <c r="G73" i="8"/>
  <c r="I25" i="8"/>
  <c r="K25" i="8" s="1"/>
  <c r="K26" i="8"/>
  <c r="K27" i="8"/>
  <c r="I28" i="8"/>
  <c r="I29" i="8"/>
  <c r="K29" i="8" s="1"/>
  <c r="I24" i="8"/>
  <c r="I16" i="8"/>
  <c r="K16" i="8" s="1"/>
  <c r="I10" i="8"/>
  <c r="K10" i="8" s="1"/>
  <c r="H73" i="8"/>
  <c r="H71" i="8"/>
  <c r="H69" i="8"/>
  <c r="H67" i="8"/>
  <c r="H65" i="8"/>
  <c r="H63" i="8"/>
  <c r="B52" i="8"/>
  <c r="B8" i="8"/>
  <c r="F73" i="8"/>
  <c r="F71" i="8"/>
  <c r="F69" i="8"/>
  <c r="F67" i="8"/>
  <c r="F65" i="8"/>
  <c r="F63" i="8"/>
  <c r="F59" i="8"/>
  <c r="F57" i="8"/>
  <c r="F55" i="8"/>
  <c r="F52" i="8"/>
  <c r="F47" i="8"/>
  <c r="F43" i="8"/>
  <c r="F36" i="8"/>
  <c r="F30" i="8"/>
  <c r="F21" i="8"/>
  <c r="F15" i="8"/>
  <c r="F8" i="8"/>
  <c r="M8" i="8" l="1"/>
  <c r="O8" i="8"/>
  <c r="K28" i="8"/>
  <c r="K24" i="8"/>
  <c r="O52" i="8"/>
  <c r="M52" i="8"/>
  <c r="I23" i="8"/>
  <c r="H59" i="8"/>
  <c r="B71" i="8" l="1"/>
  <c r="L71" i="8"/>
  <c r="J71" i="8" s="1"/>
  <c r="O71" i="8" l="1"/>
  <c r="M71" i="8"/>
  <c r="I61" i="8"/>
  <c r="K61" i="8" s="1"/>
  <c r="G59" i="8"/>
  <c r="B47" i="8"/>
  <c r="O47" i="8" l="1"/>
  <c r="I11" i="8"/>
  <c r="K11" i="8" l="1"/>
  <c r="I14" i="8"/>
  <c r="K14" i="8" l="1"/>
  <c r="I12" i="8"/>
  <c r="I9" i="8"/>
  <c r="I13" i="8"/>
  <c r="K9" i="8" l="1"/>
  <c r="K13" i="8"/>
  <c r="K12" i="8"/>
  <c r="I8" i="8"/>
  <c r="I55" i="8"/>
  <c r="B36" i="8" l="1"/>
  <c r="H23" i="8"/>
  <c r="G23" i="8"/>
  <c r="H8" i="8"/>
  <c r="B15" i="8"/>
  <c r="O15" i="8" l="1"/>
  <c r="O36" i="8"/>
  <c r="L73" i="8"/>
  <c r="J73" i="8" s="1"/>
  <c r="B73" i="8"/>
  <c r="L69" i="8"/>
  <c r="J69" i="8" s="1"/>
  <c r="B69" i="8"/>
  <c r="L67" i="8"/>
  <c r="J67" i="8" s="1"/>
  <c r="B67" i="8"/>
  <c r="L63" i="8"/>
  <c r="J63" i="8" s="1"/>
  <c r="B63" i="8"/>
  <c r="L65" i="8"/>
  <c r="J65" i="8" s="1"/>
  <c r="B65" i="8"/>
  <c r="G55" i="8"/>
  <c r="H55" i="8"/>
  <c r="B55" i="8"/>
  <c r="G21" i="8"/>
  <c r="H21" i="8"/>
  <c r="L21" i="8"/>
  <c r="B21" i="8"/>
  <c r="M55" i="8" l="1"/>
  <c r="O55" i="8"/>
  <c r="O69" i="8"/>
  <c r="M69" i="8"/>
  <c r="O67" i="8"/>
  <c r="M67" i="8"/>
  <c r="O65" i="8"/>
  <c r="M65" i="8"/>
  <c r="O63" i="8"/>
  <c r="M63" i="8"/>
  <c r="M21" i="8"/>
  <c r="O21" i="8"/>
  <c r="O73" i="8"/>
  <c r="M73" i="8"/>
  <c r="L55" i="8"/>
  <c r="J55" i="8" s="1"/>
  <c r="L23" i="8" l="1"/>
  <c r="J23" i="8" s="1"/>
  <c r="L15" i="8"/>
  <c r="G36" i="8" l="1"/>
  <c r="M36" i="8" s="1"/>
  <c r="G30" i="8"/>
  <c r="B59" i="8" l="1"/>
  <c r="H57" i="8"/>
  <c r="G57" i="8"/>
  <c r="B57" i="8"/>
  <c r="H52" i="8"/>
  <c r="B43" i="8"/>
  <c r="B23" i="8"/>
  <c r="M59" i="8" l="1"/>
  <c r="O59" i="8"/>
  <c r="M57" i="8"/>
  <c r="O57" i="8"/>
  <c r="O43" i="8"/>
  <c r="O23" i="8"/>
  <c r="M23" i="8"/>
  <c r="G47" i="8"/>
  <c r="M47" i="8" s="1"/>
  <c r="G43" i="8"/>
  <c r="M43" i="8" s="1"/>
  <c r="G15" i="8"/>
  <c r="M15" i="8" s="1"/>
  <c r="I58" i="8" l="1"/>
  <c r="J58" i="8" s="1"/>
  <c r="K58" i="8" s="1"/>
  <c r="K53" i="8" l="1"/>
  <c r="I52" i="8"/>
  <c r="L57" i="8"/>
  <c r="I57" i="8"/>
  <c r="I51" i="8"/>
  <c r="K51" i="8" s="1"/>
  <c r="H47" i="8"/>
  <c r="I50" i="8"/>
  <c r="K50" i="8" s="1"/>
  <c r="I48" i="8"/>
  <c r="K48" i="8" s="1"/>
  <c r="H43" i="8"/>
  <c r="H36" i="8"/>
  <c r="H30" i="8"/>
  <c r="J57" i="8" l="1"/>
  <c r="L47" i="8"/>
  <c r="B30" i="8"/>
  <c r="M30" i="8" l="1"/>
  <c r="O30" i="8"/>
  <c r="I47" i="8"/>
  <c r="J47" i="8" s="1"/>
  <c r="I35" i="8"/>
  <c r="K35" i="8" l="1"/>
  <c r="I62" i="8"/>
  <c r="I44" i="8"/>
  <c r="K44" i="8" s="1"/>
  <c r="I45" i="8"/>
  <c r="K45" i="8" s="1"/>
  <c r="I46" i="8"/>
  <c r="K46" i="8" s="1"/>
  <c r="I59" i="8" l="1"/>
  <c r="K62" i="8"/>
  <c r="L43" i="8"/>
  <c r="L59" i="8"/>
  <c r="J52" i="8"/>
  <c r="I43" i="8"/>
  <c r="I31" i="8"/>
  <c r="I32" i="8"/>
  <c r="K32" i="8" s="1"/>
  <c r="I33" i="8"/>
  <c r="K33" i="8" s="1"/>
  <c r="I34" i="8"/>
  <c r="I22" i="8"/>
  <c r="I17" i="8"/>
  <c r="I18" i="8"/>
  <c r="I19" i="8"/>
  <c r="I20" i="8"/>
  <c r="H15" i="8"/>
  <c r="L8" i="8"/>
  <c r="J8" i="8" s="1"/>
  <c r="J59" i="8" l="1"/>
  <c r="J43" i="8"/>
  <c r="K31" i="8"/>
  <c r="I21" i="8"/>
  <c r="J21" i="8" s="1"/>
  <c r="J22" i="8"/>
  <c r="K22" i="8" s="1"/>
  <c r="K18" i="8"/>
  <c r="K19" i="8"/>
  <c r="K17" i="8"/>
  <c r="I83" i="8"/>
  <c r="K20" i="8"/>
  <c r="I15" i="8"/>
  <c r="J15" i="8" s="1"/>
  <c r="L30" i="8"/>
  <c r="I30" i="8"/>
  <c r="J30" i="8" l="1"/>
  <c r="I42" i="8"/>
  <c r="I41" i="8"/>
  <c r="I81" i="8" s="1"/>
  <c r="I40" i="8"/>
  <c r="I38" i="8"/>
  <c r="I37" i="8"/>
  <c r="I77" i="8" s="1"/>
  <c r="K41" i="8" l="1"/>
  <c r="K37" i="8"/>
  <c r="K42" i="8"/>
  <c r="I82" i="8"/>
  <c r="K38" i="8"/>
  <c r="I78" i="8"/>
  <c r="K40" i="8"/>
  <c r="I80" i="8"/>
  <c r="I39" i="8"/>
  <c r="K39" i="8" l="1"/>
  <c r="I79" i="8"/>
  <c r="I87" i="8" s="1"/>
  <c r="I36" i="8"/>
  <c r="L36" i="8"/>
  <c r="J36" i="8" l="1"/>
</calcChain>
</file>

<file path=xl/sharedStrings.xml><?xml version="1.0" encoding="utf-8"?>
<sst xmlns="http://schemas.openxmlformats.org/spreadsheetml/2006/main" count="333" uniqueCount="58">
  <si>
    <t>Базовый
норматив затрат</t>
  </si>
  <si>
    <t>Территориальный 
корректирующий коэффициент</t>
  </si>
  <si>
    <t>Отраслевой
корректирующий коэффициент</t>
  </si>
  <si>
    <t>Приложение № 1</t>
  </si>
  <si>
    <t>МБУ ДО  "ЦДМШ  им. Скрябина"</t>
  </si>
  <si>
    <t>МБУ ДО "ДМШ № 2 им. А.П.Бородина"</t>
  </si>
  <si>
    <t>МБУ ДО   "ДМШ № 3 им. Н.К.Гусельникова"</t>
  </si>
  <si>
    <t>МБУ ДО "ДШИ № 4"</t>
  </si>
  <si>
    <t>МБУ ДО  "ДШИ № 5"</t>
  </si>
  <si>
    <t>МБУ  ДО "ДШИ № 7"</t>
  </si>
  <si>
    <t>МБУ ДО "ДХШ"</t>
  </si>
  <si>
    <t>МБУ "ЦБС"</t>
  </si>
  <si>
    <t>МБУК "Дзержинский театр драмы"</t>
  </si>
  <si>
    <t>МБУК "Дзержинский театр Кукол"</t>
  </si>
  <si>
    <t>МБУК "Дзержинский краеведческий музей"</t>
  </si>
  <si>
    <t>Объем финансового обеспечения муниципальных учреждений на выполнение муниципального задания</t>
  </si>
  <si>
    <t>Коэффициент выравнивания</t>
  </si>
  <si>
    <t>Всего</t>
  </si>
  <si>
    <t>Финансовое обеспечение в пределах бюджетных ассигнований</t>
  </si>
  <si>
    <t>МБУК "ДКХ"</t>
  </si>
  <si>
    <t>Субъект бюджетного планирования</t>
  </si>
  <si>
    <t>Наименование 
муниципального учреждения/наименование муниципальной услуги (доп.ФК)/наименование муниципальной услуги</t>
  </si>
  <si>
    <t xml:space="preserve">Значение объема муниципальной услуги (работы) </t>
  </si>
  <si>
    <t>Затраты на уплату налогов (с учётом коэффициента платной деятельности)</t>
  </si>
  <si>
    <t>Объем доходов от оказания муниципальных услуг, относящихся к основным видам деятельности</t>
  </si>
  <si>
    <t>Объем финансового обеспечения на выполнение муниципального задания за счет средств бюджета</t>
  </si>
  <si>
    <t>МБУ  ДО "ДШИ № 4"</t>
  </si>
  <si>
    <t>Управление культуры, молодежной политики и спорта (отдел культуры)</t>
  </si>
  <si>
    <t>скр</t>
  </si>
  <si>
    <t>дхш</t>
  </si>
  <si>
    <t>дкх</t>
  </si>
  <si>
    <t>Реализация дополнительных  общеразвивающих программ (ед.измерения - человеко-час)</t>
  </si>
  <si>
    <t>Реализация дополнительных  предпрофессиональных программ в области искусств - Живопись  (ед.измерения - человеко-час)</t>
  </si>
  <si>
    <t>Реализация дополнительных  предпрофессиональных программ в области искусств - декоративное прикладное творчество  (ед.измерения - человеко-час)</t>
  </si>
  <si>
    <t>Реализация дополнительных  предпрофессиональных программ в области искусств - Фортепиано  (ед.измерения - человеко-час)</t>
  </si>
  <si>
    <t>Реализация дополнительных  предпрофессиональных программ в области искусств - Струнные инструменты  (ед.измерения - человеко-час)</t>
  </si>
  <si>
    <t>Реализация дополнительных  предпрофессиональных программ в области искусств - Народные инструменты  (ед.измерения - человеко-час)</t>
  </si>
  <si>
    <t>Реализация дополнительных  предпрофессиональных программ в области искусств - Духовые и ударные инструменты  (ед.измерения - человеко-час)</t>
  </si>
  <si>
    <t>Реализация дополнительных предпрофессиональных программ в области искусств - Хоровое пение  (ед.измерения - человеко-час)</t>
  </si>
  <si>
    <t>Реализация дополнительных  предпрофессиональных программ в области искусств - Музыкальный фольклор  (ед.измерения - человеко-час)</t>
  </si>
  <si>
    <t>Реализация дополнительных  предпрофессиональных программ в области искусств - Инструменты эстрадного оркестра  (ед.измерения - человеко-час)</t>
  </si>
  <si>
    <t>Реализация дополнительных  предпрофессиональных программ в области искусств - Искусство театра  (ед.измерения - человеко-час)</t>
  </si>
  <si>
    <t>Реализация дополнительных  предпрофессиональных программ в области искусств  - Хореографическое творчество  (ед.измерения - человеко-час)</t>
  </si>
  <si>
    <t>Библиотечное, библиографическое и информационное обслуживание пользователей библиотеки (ед.измерения - количество посещений, ед.)</t>
  </si>
  <si>
    <t>Показ (организация показа) спектаклей (театральных постановок) (ед.измерения - количество публичных выступлений)</t>
  </si>
  <si>
    <t>Организация деятельности клубных формирований и формирований самодеятельного народного творчества (ед.измерения - количество клубных формирований)</t>
  </si>
  <si>
    <t xml:space="preserve"> Организация и проведение мероприятий  (ед.измерения - количество мероприятий)</t>
  </si>
  <si>
    <t>Публичный показ музейных предметов, музейных коллекций (ед.измерения - число посетителей)</t>
  </si>
  <si>
    <t>школы</t>
  </si>
  <si>
    <t>Коэффициент приведения</t>
  </si>
  <si>
    <t>на 2025 год</t>
  </si>
  <si>
    <t>на 2026 год</t>
  </si>
  <si>
    <t>7=(2*3*4*5)+6</t>
  </si>
  <si>
    <t>9=7-8</t>
  </si>
  <si>
    <t>Организация  деятельности клубных формирований и формирований самодеятельного народного творчества (работа)</t>
  </si>
  <si>
    <t>ДК им. Я.М. Свердлова</t>
  </si>
  <si>
    <t>X</t>
  </si>
  <si>
    <t>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</si>
</sst>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_ ;[Red]\-#,##0.00\ "/>
    <numFmt numFmtId="165" formatCode="#,##0.0000000_ ;[Red]\-#,##0.0000000\ "/>
    <numFmt numFmtId="166" formatCode="#,##0.0000000"/>
    <numFmt numFmtId="167" formatCode="#,##0.000000"/>
    <numFmt numFmtId="168" formatCode="0.0000000"/>
    <numFmt numFmtId="169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3" fontId="4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/>
    <xf numFmtId="0" fontId="4" fillId="2" borderId="2" xfId="0" applyFont="1" applyFill="1" applyBorder="1" applyAlignment="1">
      <alignment horizontal="left" wrapText="1"/>
    </xf>
    <xf numFmtId="3" fontId="4" fillId="2" borderId="2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/>
    <xf numFmtId="0" fontId="4" fillId="2" borderId="3" xfId="0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/>
    </xf>
    <xf numFmtId="3" fontId="4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/>
    <xf numFmtId="0" fontId="1" fillId="2" borderId="0" xfId="0" applyFont="1" applyFill="1" applyBorder="1" applyAlignment="1">
      <alignment wrapText="1"/>
    </xf>
    <xf numFmtId="164" fontId="1" fillId="2" borderId="0" xfId="0" applyNumberFormat="1" applyFont="1" applyFill="1"/>
    <xf numFmtId="3" fontId="4" fillId="2" borderId="2" xfId="0" applyNumberFormat="1" applyFont="1" applyFill="1" applyBorder="1" applyAlignment="1">
      <alignment horizontal="center" vertical="center" wrapText="1"/>
    </xf>
    <xf numFmtId="168" fontId="1" fillId="2" borderId="0" xfId="0" applyNumberFormat="1" applyFont="1" applyFill="1"/>
    <xf numFmtId="3" fontId="4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Border="1" applyAlignment="1">
      <alignment horizontal="center"/>
    </xf>
    <xf numFmtId="168" fontId="2" fillId="2" borderId="1" xfId="0" applyNumberFormat="1" applyFont="1" applyFill="1" applyBorder="1" applyAlignment="1">
      <alignment horizontal="center" vertical="center"/>
    </xf>
    <xf numFmtId="3" fontId="1" fillId="2" borderId="0" xfId="0" applyNumberFormat="1" applyFont="1" applyFill="1"/>
    <xf numFmtId="0" fontId="2" fillId="2" borderId="0" xfId="0" applyFont="1" applyFill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Border="1" applyAlignment="1">
      <alignment horizontal="right"/>
    </xf>
    <xf numFmtId="169" fontId="1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164" fontId="1" fillId="3" borderId="0" xfId="0" applyNumberFormat="1" applyFont="1" applyFill="1" applyBorder="1"/>
    <xf numFmtId="164" fontId="1" fillId="3" borderId="0" xfId="0" applyNumberFormat="1" applyFont="1" applyFill="1"/>
    <xf numFmtId="164" fontId="1" fillId="2" borderId="1" xfId="0" applyNumberFormat="1" applyFont="1" applyFill="1" applyBorder="1"/>
    <xf numFmtId="0" fontId="1" fillId="2" borderId="1" xfId="0" applyFont="1" applyFill="1" applyBorder="1"/>
    <xf numFmtId="4" fontId="1" fillId="2" borderId="1" xfId="0" applyNumberFormat="1" applyFont="1" applyFill="1" applyBorder="1"/>
    <xf numFmtId="0" fontId="4" fillId="0" borderId="2" xfId="0" applyFont="1" applyBorder="1" applyAlignment="1">
      <alignment horizontal="left" wrapText="1"/>
    </xf>
    <xf numFmtId="16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169" fontId="2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9" fontId="1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3"/>
  <sheetViews>
    <sheetView topLeftCell="A62" zoomScaleNormal="100" workbookViewId="0">
      <selection activeCell="K50" sqref="K50"/>
    </sheetView>
  </sheetViews>
  <sheetFormatPr defaultRowHeight="15" x14ac:dyDescent="0.25"/>
  <cols>
    <col min="1" max="1" width="37.42578125" style="4" customWidth="1"/>
    <col min="2" max="2" width="18.7109375" style="4" customWidth="1"/>
    <col min="3" max="4" width="15.42578125" style="4" customWidth="1"/>
    <col min="5" max="5" width="14.85546875" style="4" customWidth="1"/>
    <col min="6" max="6" width="16.140625" style="4" customWidth="1"/>
    <col min="7" max="7" width="21.7109375" style="4" customWidth="1"/>
    <col min="8" max="8" width="20" style="4" customWidth="1"/>
    <col min="9" max="9" width="16.85546875" style="4" customWidth="1"/>
    <col min="10" max="11" width="19.140625" style="4" customWidth="1"/>
    <col min="12" max="12" width="19.42578125" style="4" customWidth="1"/>
    <col min="13" max="13" width="12.28515625" style="4" hidden="1" customWidth="1"/>
    <col min="14" max="14" width="13.7109375" style="4" hidden="1" customWidth="1"/>
    <col min="15" max="15" width="23" style="4" hidden="1" customWidth="1"/>
    <col min="16" max="17" width="9.140625" style="4" hidden="1" customWidth="1"/>
    <col min="18" max="19" width="9.140625" style="4" customWidth="1"/>
    <col min="20" max="16384" width="9.140625" style="4"/>
  </cols>
  <sheetData>
    <row r="1" spans="1:15" x14ac:dyDescent="0.25">
      <c r="F1" s="71" t="s">
        <v>3</v>
      </c>
      <c r="G1" s="71"/>
      <c r="H1" s="71"/>
      <c r="I1" s="71"/>
      <c r="J1" s="71"/>
      <c r="K1" s="58"/>
    </row>
    <row r="2" spans="1:15" s="5" customFormat="1" ht="30.75" customHeight="1" x14ac:dyDescent="0.25">
      <c r="A2" s="72" t="s">
        <v>15</v>
      </c>
      <c r="B2" s="72"/>
      <c r="C2" s="72"/>
      <c r="D2" s="72"/>
      <c r="E2" s="72"/>
      <c r="F2" s="72"/>
      <c r="G2" s="72"/>
      <c r="H2" s="72"/>
      <c r="I2" s="72"/>
    </row>
    <row r="3" spans="1:15" s="5" customFormat="1" ht="30.75" customHeight="1" x14ac:dyDescent="0.25">
      <c r="A3" s="6" t="s">
        <v>20</v>
      </c>
      <c r="B3" s="7"/>
      <c r="C3" s="1" t="s">
        <v>27</v>
      </c>
      <c r="D3" s="7"/>
      <c r="E3" s="7"/>
      <c r="F3" s="7"/>
      <c r="G3" s="70"/>
      <c r="H3" s="8"/>
      <c r="I3" s="70"/>
    </row>
    <row r="4" spans="1:15" s="5" customFormat="1" ht="30.75" customHeight="1" x14ac:dyDescent="0.25">
      <c r="A4" s="6"/>
      <c r="B4" s="7"/>
      <c r="C4" s="73" t="s">
        <v>50</v>
      </c>
      <c r="D4" s="73"/>
      <c r="E4" s="73"/>
      <c r="F4" s="73"/>
      <c r="G4" s="70"/>
      <c r="H4" s="8"/>
      <c r="I4" s="70"/>
    </row>
    <row r="5" spans="1:15" s="9" customFormat="1" ht="15.75" x14ac:dyDescent="0.25">
      <c r="C5" s="10"/>
      <c r="D5" s="10"/>
      <c r="E5" s="10"/>
      <c r="F5" s="10"/>
      <c r="G5" s="10"/>
      <c r="H5" s="10"/>
      <c r="I5" s="10"/>
    </row>
    <row r="6" spans="1:15" ht="180.75" customHeight="1" x14ac:dyDescent="0.25">
      <c r="A6" s="11" t="s">
        <v>21</v>
      </c>
      <c r="B6" s="11" t="s">
        <v>22</v>
      </c>
      <c r="C6" s="11" t="s">
        <v>0</v>
      </c>
      <c r="D6" s="11" t="s">
        <v>1</v>
      </c>
      <c r="E6" s="11" t="s">
        <v>2</v>
      </c>
      <c r="F6" s="12" t="s">
        <v>23</v>
      </c>
      <c r="G6" s="11" t="s">
        <v>17</v>
      </c>
      <c r="H6" s="11" t="s">
        <v>24</v>
      </c>
      <c r="I6" s="11" t="s">
        <v>25</v>
      </c>
      <c r="J6" s="11" t="s">
        <v>16</v>
      </c>
      <c r="K6" s="11" t="s">
        <v>49</v>
      </c>
      <c r="L6" s="11" t="s">
        <v>18</v>
      </c>
      <c r="N6" s="6"/>
    </row>
    <row r="7" spans="1:15" s="9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3" t="s">
        <v>52</v>
      </c>
      <c r="H7" s="13">
        <v>8</v>
      </c>
      <c r="I7" s="13" t="s">
        <v>53</v>
      </c>
      <c r="J7" s="13">
        <v>10</v>
      </c>
      <c r="K7" s="13">
        <v>11</v>
      </c>
      <c r="L7" s="14">
        <v>12</v>
      </c>
    </row>
    <row r="8" spans="1:15" ht="42.75" x14ac:dyDescent="0.25">
      <c r="A8" s="15" t="s">
        <v>31</v>
      </c>
      <c r="B8" s="16">
        <f>SUM(B9:B14)</f>
        <v>528004</v>
      </c>
      <c r="C8" s="17">
        <v>141.82</v>
      </c>
      <c r="D8" s="53">
        <v>1</v>
      </c>
      <c r="E8" s="50">
        <v>0.99360329999999997</v>
      </c>
      <c r="F8" s="17">
        <f>F9+F10+F11+F12+F13+F14</f>
        <v>0</v>
      </c>
      <c r="G8" s="17">
        <f>SUM(G9:G14)</f>
        <v>74402530</v>
      </c>
      <c r="H8" s="17">
        <f>SUM(H9:H14)</f>
        <v>0</v>
      </c>
      <c r="I8" s="17">
        <f>SUM(I9:I14)</f>
        <v>74402530</v>
      </c>
      <c r="J8" s="19">
        <f>L8/I8</f>
        <v>0.99993508285269328</v>
      </c>
      <c r="K8" s="19" t="s">
        <v>56</v>
      </c>
      <c r="L8" s="17">
        <f>SUM(L9:L14)</f>
        <v>74397700</v>
      </c>
      <c r="M8" s="47">
        <f t="shared" ref="M8:M39" si="0">ROUND((G8-F8)/(B8*C8),7)</f>
        <v>0.99360329999999997</v>
      </c>
      <c r="O8" s="4">
        <f t="shared" ref="O8:O39" si="1">(B8*C8*D8*E8)+F8</f>
        <v>74402532.614448026</v>
      </c>
    </row>
    <row r="9" spans="1:15" x14ac:dyDescent="0.25">
      <c r="A9" s="20" t="s">
        <v>4</v>
      </c>
      <c r="B9" s="21">
        <v>27066</v>
      </c>
      <c r="C9" s="22">
        <v>141.82</v>
      </c>
      <c r="D9" s="53">
        <v>1</v>
      </c>
      <c r="E9" s="23">
        <v>1.6681801999999999</v>
      </c>
      <c r="F9" s="24">
        <v>0</v>
      </c>
      <c r="G9" s="22">
        <v>6403310</v>
      </c>
      <c r="H9" s="22">
        <v>0</v>
      </c>
      <c r="I9" s="22">
        <f>G9-H9</f>
        <v>6403310</v>
      </c>
      <c r="J9" s="28">
        <v>0.99993508285269328</v>
      </c>
      <c r="K9" s="28">
        <f t="shared" ref="K9:K14" si="2">ROUND(L9/I9/J9,7)</f>
        <v>0.99954799999999999</v>
      </c>
      <c r="L9" s="24">
        <v>6400000</v>
      </c>
      <c r="M9" s="47">
        <f t="shared" si="0"/>
        <v>1.6681801999999999</v>
      </c>
      <c r="N9" s="25"/>
      <c r="O9" s="4">
        <f t="shared" si="1"/>
        <v>6403309.8978816234</v>
      </c>
    </row>
    <row r="10" spans="1:15" x14ac:dyDescent="0.25">
      <c r="A10" s="26" t="s">
        <v>5</v>
      </c>
      <c r="B10" s="27">
        <v>145905</v>
      </c>
      <c r="C10" s="22">
        <v>141.82</v>
      </c>
      <c r="D10" s="53">
        <v>1</v>
      </c>
      <c r="E10" s="23">
        <v>0.74323589999999995</v>
      </c>
      <c r="F10" s="24">
        <v>0</v>
      </c>
      <c r="G10" s="22">
        <v>15379220</v>
      </c>
      <c r="H10" s="22">
        <v>0</v>
      </c>
      <c r="I10" s="22">
        <f>G10-H10</f>
        <v>15379220</v>
      </c>
      <c r="J10" s="28">
        <v>0.99993508285269328</v>
      </c>
      <c r="K10" s="28">
        <f t="shared" si="2"/>
        <v>1.0000506</v>
      </c>
      <c r="L10" s="24">
        <v>15379000</v>
      </c>
      <c r="M10" s="47">
        <f t="shared" si="0"/>
        <v>0.74323589999999995</v>
      </c>
      <c r="N10" s="25"/>
      <c r="O10" s="4">
        <f t="shared" si="1"/>
        <v>15379220.896390887</v>
      </c>
    </row>
    <row r="11" spans="1:15" ht="26.25" x14ac:dyDescent="0.25">
      <c r="A11" s="26" t="s">
        <v>6</v>
      </c>
      <c r="B11" s="46">
        <v>71300</v>
      </c>
      <c r="C11" s="22">
        <v>141.82</v>
      </c>
      <c r="D11" s="53">
        <v>1</v>
      </c>
      <c r="E11" s="23">
        <v>1.9549255999999999</v>
      </c>
      <c r="F11" s="24">
        <v>0</v>
      </c>
      <c r="G11" s="22">
        <v>19767750</v>
      </c>
      <c r="H11" s="22">
        <v>0</v>
      </c>
      <c r="I11" s="22">
        <f>G11-H11</f>
        <v>19767750</v>
      </c>
      <c r="J11" s="28">
        <v>0.99993508285269328</v>
      </c>
      <c r="K11" s="28">
        <f t="shared" si="2"/>
        <v>1.000027</v>
      </c>
      <c r="L11" s="24">
        <v>19767000</v>
      </c>
      <c r="M11" s="47">
        <f t="shared" si="0"/>
        <v>1.9549255999999999</v>
      </c>
      <c r="N11" s="25"/>
      <c r="O11" s="4">
        <f t="shared" si="1"/>
        <v>19767750.214609601</v>
      </c>
    </row>
    <row r="12" spans="1:15" x14ac:dyDescent="0.25">
      <c r="A12" s="20" t="s">
        <v>7</v>
      </c>
      <c r="B12" s="21">
        <v>84760</v>
      </c>
      <c r="C12" s="22">
        <v>141.82</v>
      </c>
      <c r="D12" s="53">
        <v>1</v>
      </c>
      <c r="E12" s="23">
        <v>0.71575750000000005</v>
      </c>
      <c r="F12" s="24">
        <v>0</v>
      </c>
      <c r="G12" s="22">
        <v>8603880</v>
      </c>
      <c r="H12" s="22">
        <v>0</v>
      </c>
      <c r="I12" s="22">
        <f t="shared" ref="I12:I14" si="3">G12-H12</f>
        <v>8603880</v>
      </c>
      <c r="J12" s="28">
        <v>0.99993508285269328</v>
      </c>
      <c r="K12" s="28">
        <f t="shared" si="2"/>
        <v>1.0000556</v>
      </c>
      <c r="L12" s="24">
        <v>8603800</v>
      </c>
      <c r="M12" s="47">
        <f t="shared" si="0"/>
        <v>0.71575750000000005</v>
      </c>
      <c r="N12" s="25"/>
      <c r="O12" s="4">
        <f t="shared" si="1"/>
        <v>8603879.8403740004</v>
      </c>
    </row>
    <row r="13" spans="1:15" x14ac:dyDescent="0.25">
      <c r="A13" s="20" t="s">
        <v>8</v>
      </c>
      <c r="B13" s="48">
        <v>88226</v>
      </c>
      <c r="C13" s="22">
        <v>141.82</v>
      </c>
      <c r="D13" s="53">
        <v>1</v>
      </c>
      <c r="E13" s="23">
        <v>1.1308088999999999</v>
      </c>
      <c r="F13" s="24">
        <v>0</v>
      </c>
      <c r="G13" s="22">
        <v>14148920</v>
      </c>
      <c r="H13" s="22">
        <v>0</v>
      </c>
      <c r="I13" s="22">
        <f t="shared" si="3"/>
        <v>14148920</v>
      </c>
      <c r="J13" s="28">
        <v>0.99993508285269328</v>
      </c>
      <c r="K13" s="28">
        <f t="shared" si="2"/>
        <v>1.0000635</v>
      </c>
      <c r="L13" s="24">
        <v>14148900</v>
      </c>
      <c r="M13" s="47">
        <f t="shared" si="0"/>
        <v>1.1308088999999999</v>
      </c>
      <c r="N13" s="25"/>
      <c r="O13" s="4">
        <f t="shared" si="1"/>
        <v>14148919.919336747</v>
      </c>
    </row>
    <row r="14" spans="1:15" x14ac:dyDescent="0.25">
      <c r="A14" s="20" t="s">
        <v>9</v>
      </c>
      <c r="B14" s="21">
        <v>110747</v>
      </c>
      <c r="C14" s="22">
        <v>141.82</v>
      </c>
      <c r="D14" s="53">
        <v>1</v>
      </c>
      <c r="E14" s="23">
        <v>0.64302559999999997</v>
      </c>
      <c r="F14" s="24">
        <v>0</v>
      </c>
      <c r="G14" s="22">
        <v>10099450</v>
      </c>
      <c r="H14" s="22">
        <v>0</v>
      </c>
      <c r="I14" s="22">
        <f t="shared" si="3"/>
        <v>10099450</v>
      </c>
      <c r="J14" s="28">
        <v>0.99993508285269328</v>
      </c>
      <c r="K14" s="28">
        <f t="shared" si="2"/>
        <v>1.0000203999999999</v>
      </c>
      <c r="L14" s="24">
        <v>10099000</v>
      </c>
      <c r="M14" s="47">
        <f t="shared" si="0"/>
        <v>0.64302559999999997</v>
      </c>
      <c r="O14" s="4">
        <f t="shared" si="1"/>
        <v>10099449.801392224</v>
      </c>
    </row>
    <row r="15" spans="1:15" ht="57" x14ac:dyDescent="0.25">
      <c r="A15" s="15" t="s">
        <v>32</v>
      </c>
      <c r="B15" s="16">
        <f>SUM(B16:B20)</f>
        <v>586888</v>
      </c>
      <c r="C15" s="17">
        <v>179</v>
      </c>
      <c r="D15" s="53">
        <v>1</v>
      </c>
      <c r="E15" s="18">
        <v>0.53246579999999999</v>
      </c>
      <c r="F15" s="17">
        <f>F16+F17+F18+F19+F20</f>
        <v>53969.51</v>
      </c>
      <c r="G15" s="17">
        <f>SUM(G16:G20)</f>
        <v>55991076.460000001</v>
      </c>
      <c r="H15" s="17">
        <f>SUM(H16:H20)</f>
        <v>5836.8</v>
      </c>
      <c r="I15" s="17">
        <f>SUM(I16:I20)</f>
        <v>55985239.659999996</v>
      </c>
      <c r="J15" s="19">
        <f t="shared" ref="J15:J74" si="4">L15/I15</f>
        <v>0.94421613394947468</v>
      </c>
      <c r="K15" s="19" t="s">
        <v>56</v>
      </c>
      <c r="L15" s="17">
        <f>SUM(L16:L20)</f>
        <v>52862166.549999997</v>
      </c>
      <c r="M15" s="47">
        <f t="shared" si="0"/>
        <v>0.53246579999999999</v>
      </c>
      <c r="O15" s="4">
        <f t="shared" si="1"/>
        <v>55991073.639041595</v>
      </c>
    </row>
    <row r="16" spans="1:15" x14ac:dyDescent="0.25">
      <c r="A16" s="26" t="s">
        <v>5</v>
      </c>
      <c r="B16" s="21">
        <v>6653</v>
      </c>
      <c r="C16" s="22">
        <v>179</v>
      </c>
      <c r="D16" s="53">
        <v>1</v>
      </c>
      <c r="E16" s="23">
        <v>0.61445629999999996</v>
      </c>
      <c r="F16" s="22"/>
      <c r="G16" s="22">
        <v>731748</v>
      </c>
      <c r="H16" s="22"/>
      <c r="I16" s="22">
        <f>G16-H16</f>
        <v>731748</v>
      </c>
      <c r="J16" s="28">
        <v>0.94421613394947468</v>
      </c>
      <c r="K16" s="28">
        <f t="shared" ref="K16:K20" si="5">ROUND(L16/I16/J16,7)</f>
        <v>1.0385709000000001</v>
      </c>
      <c r="L16" s="24">
        <v>717578</v>
      </c>
      <c r="M16" s="47">
        <f t="shared" si="0"/>
        <v>0.61445629999999996</v>
      </c>
      <c r="O16" s="4">
        <f t="shared" si="1"/>
        <v>731748.0197381</v>
      </c>
    </row>
    <row r="17" spans="1:15" x14ac:dyDescent="0.25">
      <c r="A17" s="20" t="s">
        <v>7</v>
      </c>
      <c r="B17" s="21">
        <v>84020</v>
      </c>
      <c r="C17" s="22">
        <v>179</v>
      </c>
      <c r="D17" s="53">
        <v>1</v>
      </c>
      <c r="E17" s="23">
        <v>0.55234260000000002</v>
      </c>
      <c r="F17" s="22"/>
      <c r="G17" s="22">
        <v>8307000</v>
      </c>
      <c r="H17" s="22"/>
      <c r="I17" s="22">
        <f>G17-H17</f>
        <v>8307000</v>
      </c>
      <c r="J17" s="28">
        <v>0.94421613394947468</v>
      </c>
      <c r="K17" s="28">
        <f t="shared" si="5"/>
        <v>0.98661540000000003</v>
      </c>
      <c r="L17" s="24">
        <v>7738620</v>
      </c>
      <c r="M17" s="47">
        <f t="shared" si="0"/>
        <v>0.55234260000000002</v>
      </c>
      <c r="O17" s="4">
        <f t="shared" si="1"/>
        <v>8307000.7201080006</v>
      </c>
    </row>
    <row r="18" spans="1:15" x14ac:dyDescent="0.25">
      <c r="A18" s="20" t="s">
        <v>8</v>
      </c>
      <c r="B18" s="21">
        <v>86230</v>
      </c>
      <c r="C18" s="22">
        <v>179</v>
      </c>
      <c r="D18" s="53">
        <v>1</v>
      </c>
      <c r="E18" s="23">
        <v>0.91665589999999997</v>
      </c>
      <c r="F18" s="22"/>
      <c r="G18" s="22">
        <v>14148740</v>
      </c>
      <c r="H18" s="22"/>
      <c r="I18" s="22">
        <f>G18-H18</f>
        <v>14148740</v>
      </c>
      <c r="J18" s="28">
        <v>0.94421613394947468</v>
      </c>
      <c r="K18" s="28">
        <f t="shared" si="5"/>
        <v>1.0491090999999999</v>
      </c>
      <c r="L18" s="24">
        <v>14015540</v>
      </c>
      <c r="M18" s="47">
        <f t="shared" si="0"/>
        <v>0.91665589999999997</v>
      </c>
      <c r="O18" s="4">
        <f t="shared" si="1"/>
        <v>14148739.648002999</v>
      </c>
    </row>
    <row r="19" spans="1:15" x14ac:dyDescent="0.25">
      <c r="A19" s="20" t="s">
        <v>9</v>
      </c>
      <c r="B19" s="21">
        <v>69150</v>
      </c>
      <c r="C19" s="22">
        <v>179</v>
      </c>
      <c r="D19" s="53">
        <v>1</v>
      </c>
      <c r="E19" s="23">
        <v>0.51675859999999996</v>
      </c>
      <c r="F19" s="22"/>
      <c r="G19" s="22">
        <v>6396360</v>
      </c>
      <c r="H19" s="22"/>
      <c r="I19" s="22">
        <f>G19-H19</f>
        <v>6396360</v>
      </c>
      <c r="J19" s="28">
        <v>0.94421613394947468</v>
      </c>
      <c r="K19" s="28">
        <f t="shared" si="5"/>
        <v>1.0103789000000001</v>
      </c>
      <c r="L19" s="24">
        <v>6102230</v>
      </c>
      <c r="M19" s="47">
        <f t="shared" si="0"/>
        <v>0.51675859999999996</v>
      </c>
      <c r="O19" s="4">
        <f t="shared" si="1"/>
        <v>6396360.4370099995</v>
      </c>
    </row>
    <row r="20" spans="1:15" x14ac:dyDescent="0.25">
      <c r="A20" s="20" t="s">
        <v>10</v>
      </c>
      <c r="B20" s="21">
        <v>340835</v>
      </c>
      <c r="C20" s="22">
        <v>179</v>
      </c>
      <c r="D20" s="53">
        <v>1</v>
      </c>
      <c r="E20" s="23">
        <v>0.43195359999999999</v>
      </c>
      <c r="F20" s="22">
        <v>53969.51</v>
      </c>
      <c r="G20" s="22">
        <f>26401391.66-48132.71+F20</f>
        <v>26407228.460000001</v>
      </c>
      <c r="H20" s="22">
        <v>5836.8</v>
      </c>
      <c r="I20" s="22">
        <f>G20-H20</f>
        <v>26401391.66</v>
      </c>
      <c r="J20" s="28">
        <v>0.94421613394947468</v>
      </c>
      <c r="K20" s="28">
        <f t="shared" si="5"/>
        <v>0.9743098</v>
      </c>
      <c r="L20" s="24">
        <v>24288198.550000001</v>
      </c>
      <c r="M20" s="47">
        <f t="shared" si="0"/>
        <v>0.43195359999999999</v>
      </c>
      <c r="N20" s="25"/>
      <c r="O20" s="4">
        <f t="shared" si="1"/>
        <v>26407227.550824001</v>
      </c>
    </row>
    <row r="21" spans="1:15" ht="72" customHeight="1" x14ac:dyDescent="0.25">
      <c r="A21" s="15" t="s">
        <v>33</v>
      </c>
      <c r="B21" s="16">
        <f>B22</f>
        <v>33348</v>
      </c>
      <c r="C21" s="17">
        <v>179</v>
      </c>
      <c r="D21" s="53">
        <v>1</v>
      </c>
      <c r="E21" s="30">
        <v>0.61329049999999996</v>
      </c>
      <c r="F21" s="29">
        <f>F22</f>
        <v>0</v>
      </c>
      <c r="G21" s="29">
        <f t="shared" ref="G21:L21" si="6">G22</f>
        <v>3660910</v>
      </c>
      <c r="H21" s="29">
        <f t="shared" si="6"/>
        <v>0</v>
      </c>
      <c r="I21" s="29">
        <f t="shared" si="6"/>
        <v>3660910</v>
      </c>
      <c r="J21" s="19">
        <f t="shared" si="4"/>
        <v>0.98064142521941267</v>
      </c>
      <c r="K21" s="19" t="s">
        <v>56</v>
      </c>
      <c r="L21" s="29">
        <f t="shared" si="6"/>
        <v>3590040</v>
      </c>
      <c r="M21" s="47">
        <f t="shared" si="0"/>
        <v>0.61329049999999996</v>
      </c>
      <c r="O21" s="4">
        <f t="shared" si="1"/>
        <v>3660910.0753259999</v>
      </c>
    </row>
    <row r="22" spans="1:15" x14ac:dyDescent="0.25">
      <c r="A22" s="26" t="s">
        <v>5</v>
      </c>
      <c r="B22" s="21">
        <v>33348</v>
      </c>
      <c r="C22" s="22">
        <v>179</v>
      </c>
      <c r="D22" s="53">
        <v>1</v>
      </c>
      <c r="E22" s="23">
        <v>0.61329049999999996</v>
      </c>
      <c r="F22" s="22"/>
      <c r="G22" s="22">
        <v>3660910</v>
      </c>
      <c r="H22" s="22">
        <v>0</v>
      </c>
      <c r="I22" s="22">
        <f>G22-H22</f>
        <v>3660910</v>
      </c>
      <c r="J22" s="28">
        <f t="shared" si="4"/>
        <v>0.98064142521941267</v>
      </c>
      <c r="K22" s="28">
        <f>ROUND(L22/I22/J22,7)</f>
        <v>1</v>
      </c>
      <c r="L22" s="24">
        <v>3590040</v>
      </c>
      <c r="M22" s="47">
        <f t="shared" si="0"/>
        <v>0.61329049999999996</v>
      </c>
      <c r="O22" s="4">
        <f t="shared" si="1"/>
        <v>3660910.0753259999</v>
      </c>
    </row>
    <row r="23" spans="1:15" ht="57" x14ac:dyDescent="0.25">
      <c r="A23" s="15" t="s">
        <v>34</v>
      </c>
      <c r="B23" s="16">
        <f>SUM(B24:B29)</f>
        <v>227053</v>
      </c>
      <c r="C23" s="17">
        <v>179</v>
      </c>
      <c r="D23" s="53">
        <v>1</v>
      </c>
      <c r="E23" s="18">
        <v>1.8682349</v>
      </c>
      <c r="F23" s="17">
        <f>F24+F25+F26+F27+F28+F29</f>
        <v>840864.10000000009</v>
      </c>
      <c r="G23" s="17">
        <f>SUM(G24:G29)</f>
        <v>76770575.920000002</v>
      </c>
      <c r="H23" s="17">
        <f>SUM(H24:H29)</f>
        <v>14524.73</v>
      </c>
      <c r="I23" s="17">
        <f>I24+I25+I26+I27+I28+I29</f>
        <v>76756051.189999998</v>
      </c>
      <c r="J23" s="19">
        <f t="shared" si="4"/>
        <v>0.88093538739535049</v>
      </c>
      <c r="K23" s="19" t="s">
        <v>56</v>
      </c>
      <c r="L23" s="31">
        <f>SUM(L24:L29)</f>
        <v>67617121.689999998</v>
      </c>
      <c r="M23" s="47">
        <f t="shared" si="0"/>
        <v>1.8682349</v>
      </c>
      <c r="O23" s="4">
        <f t="shared" si="1"/>
        <v>76770576.736196294</v>
      </c>
    </row>
    <row r="24" spans="1:15" x14ac:dyDescent="0.25">
      <c r="A24" s="20" t="s">
        <v>4</v>
      </c>
      <c r="B24" s="21">
        <v>85995</v>
      </c>
      <c r="C24" s="22">
        <v>179</v>
      </c>
      <c r="D24" s="53">
        <v>1</v>
      </c>
      <c r="E24" s="23">
        <v>1.8679412</v>
      </c>
      <c r="F24" s="22">
        <v>94450.13</v>
      </c>
      <c r="G24" s="22">
        <f>28845642.77-92227.72+F24</f>
        <v>28847865.18</v>
      </c>
      <c r="H24" s="22">
        <v>2222.41</v>
      </c>
      <c r="I24" s="22">
        <f>G24-H24</f>
        <v>28845642.77</v>
      </c>
      <c r="J24" s="28">
        <v>0.88093538739535049</v>
      </c>
      <c r="K24" s="28">
        <f t="shared" ref="K24:K29" si="7">ROUND(L24/I24/J24,7)</f>
        <v>1.0509063999999999</v>
      </c>
      <c r="L24" s="32">
        <v>26704737.02</v>
      </c>
      <c r="M24" s="47">
        <f t="shared" si="0"/>
        <v>1.8679412</v>
      </c>
      <c r="N24" s="33"/>
      <c r="O24" s="4">
        <f t="shared" si="1"/>
        <v>28847865.155425999</v>
      </c>
    </row>
    <row r="25" spans="1:15" x14ac:dyDescent="0.25">
      <c r="A25" s="26" t="s">
        <v>5</v>
      </c>
      <c r="B25" s="21">
        <v>23046</v>
      </c>
      <c r="C25" s="22">
        <v>179</v>
      </c>
      <c r="D25" s="53">
        <v>1</v>
      </c>
      <c r="E25" s="23">
        <v>2.1138661000000001</v>
      </c>
      <c r="F25" s="22">
        <v>91757.32</v>
      </c>
      <c r="G25" s="22">
        <f>8810169.34-89977.23+F25</f>
        <v>8811949.4299999997</v>
      </c>
      <c r="H25" s="22">
        <v>1780.09</v>
      </c>
      <c r="I25" s="22">
        <f t="shared" ref="I25:I29" si="8">G25-H25</f>
        <v>8810169.3399999999</v>
      </c>
      <c r="J25" s="28">
        <v>0.88093538739535049</v>
      </c>
      <c r="K25" s="28">
        <f t="shared" si="7"/>
        <v>1.0453986</v>
      </c>
      <c r="L25" s="32">
        <v>8113537.4199999999</v>
      </c>
      <c r="M25" s="47">
        <f t="shared" si="0"/>
        <v>2.1138661000000001</v>
      </c>
      <c r="N25" s="33"/>
      <c r="O25" s="4">
        <f t="shared" si="1"/>
        <v>8811949.6271674</v>
      </c>
    </row>
    <row r="26" spans="1:15" ht="26.25" x14ac:dyDescent="0.25">
      <c r="A26" s="26" t="s">
        <v>6</v>
      </c>
      <c r="B26" s="21">
        <v>37500</v>
      </c>
      <c r="C26" s="22">
        <v>179</v>
      </c>
      <c r="D26" s="53">
        <v>1</v>
      </c>
      <c r="E26" s="23">
        <v>2.9076289000000002</v>
      </c>
      <c r="F26" s="22">
        <v>519929.88</v>
      </c>
      <c r="G26" s="22">
        <f>20028794.26-511335.44+F26</f>
        <v>20037388.699999999</v>
      </c>
      <c r="H26" s="22">
        <v>8594.44</v>
      </c>
      <c r="I26" s="22">
        <f>G26-H26</f>
        <v>20028794.259999998</v>
      </c>
      <c r="J26" s="28">
        <v>0.88093538739535049</v>
      </c>
      <c r="K26" s="28">
        <f t="shared" si="7"/>
        <v>0.90093529999999999</v>
      </c>
      <c r="L26" s="32">
        <v>15896168.189999999</v>
      </c>
      <c r="M26" s="47">
        <f t="shared" si="0"/>
        <v>2.9076289000000002</v>
      </c>
      <c r="N26" s="33"/>
      <c r="O26" s="4">
        <f t="shared" si="1"/>
        <v>20037388.87125</v>
      </c>
    </row>
    <row r="27" spans="1:15" x14ac:dyDescent="0.25">
      <c r="A27" s="20" t="s">
        <v>7</v>
      </c>
      <c r="B27" s="21">
        <v>21146</v>
      </c>
      <c r="C27" s="22">
        <v>179</v>
      </c>
      <c r="D27" s="53">
        <v>1</v>
      </c>
      <c r="E27" s="23">
        <v>1.3225865000000001</v>
      </c>
      <c r="F27" s="22">
        <v>28785.22</v>
      </c>
      <c r="G27" s="22">
        <f>5034690.77-28523.56+F27</f>
        <v>5034952.43</v>
      </c>
      <c r="H27" s="22">
        <v>261.66000000000003</v>
      </c>
      <c r="I27" s="22">
        <f>G27-H27</f>
        <v>5034690.7699999996</v>
      </c>
      <c r="J27" s="28">
        <v>0.88093538739535049</v>
      </c>
      <c r="K27" s="28">
        <f t="shared" si="7"/>
        <v>0.9244156</v>
      </c>
      <c r="L27" s="32">
        <v>4100002.5</v>
      </c>
      <c r="M27" s="47">
        <f t="shared" si="0"/>
        <v>1.3225865000000001</v>
      </c>
      <c r="N27" s="33"/>
      <c r="O27" s="4">
        <f t="shared" si="1"/>
        <v>5034952.3490909999</v>
      </c>
    </row>
    <row r="28" spans="1:15" x14ac:dyDescent="0.25">
      <c r="A28" s="20" t="s">
        <v>8</v>
      </c>
      <c r="B28" s="21">
        <v>32577</v>
      </c>
      <c r="C28" s="22">
        <v>179</v>
      </c>
      <c r="D28" s="53">
        <v>1</v>
      </c>
      <c r="E28" s="23">
        <v>1.445535</v>
      </c>
      <c r="F28" s="22">
        <v>53725.63</v>
      </c>
      <c r="G28" s="22">
        <f>8482977.72-53654.17+F28</f>
        <v>8483049.1800000016</v>
      </c>
      <c r="H28" s="22">
        <v>71.459999999999994</v>
      </c>
      <c r="I28" s="22">
        <f t="shared" si="8"/>
        <v>8482977.7200000007</v>
      </c>
      <c r="J28" s="28">
        <v>0.88093538739535049</v>
      </c>
      <c r="K28" s="28">
        <f t="shared" si="7"/>
        <v>1.0821727999999999</v>
      </c>
      <c r="L28" s="32">
        <v>8087028.9900000002</v>
      </c>
      <c r="M28" s="47">
        <f t="shared" si="0"/>
        <v>1.445535</v>
      </c>
      <c r="N28" s="33"/>
      <c r="O28" s="4">
        <f t="shared" si="1"/>
        <v>8483049.3014050014</v>
      </c>
    </row>
    <row r="29" spans="1:15" x14ac:dyDescent="0.25">
      <c r="A29" s="34" t="s">
        <v>9</v>
      </c>
      <c r="B29" s="21">
        <v>26789</v>
      </c>
      <c r="C29" s="22">
        <v>179</v>
      </c>
      <c r="D29" s="53">
        <v>1</v>
      </c>
      <c r="E29" s="23">
        <v>1.1476309</v>
      </c>
      <c r="F29" s="22">
        <v>52215.92</v>
      </c>
      <c r="G29" s="22">
        <f>5553776.33-50621.25+F29</f>
        <v>5555371</v>
      </c>
      <c r="H29" s="22">
        <v>1594.67</v>
      </c>
      <c r="I29" s="22">
        <f t="shared" si="8"/>
        <v>5553776.3300000001</v>
      </c>
      <c r="J29" s="28">
        <v>0.88093538739535049</v>
      </c>
      <c r="K29" s="28">
        <f t="shared" si="7"/>
        <v>0.96384879999999995</v>
      </c>
      <c r="L29" s="32">
        <v>4715647.57</v>
      </c>
      <c r="M29" s="47">
        <f t="shared" si="0"/>
        <v>1.1476309</v>
      </c>
      <c r="N29" s="33"/>
      <c r="O29" s="4">
        <f t="shared" si="1"/>
        <v>5555371.1882378999</v>
      </c>
    </row>
    <row r="30" spans="1:15" ht="71.25" x14ac:dyDescent="0.25">
      <c r="A30" s="15" t="s">
        <v>35</v>
      </c>
      <c r="B30" s="16">
        <f>SUM(B31:B35)</f>
        <v>42112</v>
      </c>
      <c r="C30" s="17">
        <v>179</v>
      </c>
      <c r="D30" s="53">
        <v>1</v>
      </c>
      <c r="E30" s="18">
        <v>1.1017494000000001</v>
      </c>
      <c r="F30" s="17">
        <f>F31+F32+F33+F34+F35</f>
        <v>0</v>
      </c>
      <c r="G30" s="17">
        <f>SUM(G31:G35)</f>
        <v>8305040</v>
      </c>
      <c r="H30" s="17">
        <f>SUM(H31:H35)</f>
        <v>0</v>
      </c>
      <c r="I30" s="17">
        <f>SUM(I31:I35)</f>
        <v>8305040</v>
      </c>
      <c r="J30" s="19">
        <f t="shared" si="4"/>
        <v>0.9434752872954254</v>
      </c>
      <c r="K30" s="19" t="s">
        <v>56</v>
      </c>
      <c r="L30" s="17">
        <f>SUM(L31:L35)</f>
        <v>7835600</v>
      </c>
      <c r="M30" s="47">
        <f t="shared" si="0"/>
        <v>1.1017494000000001</v>
      </c>
      <c r="O30" s="4">
        <f t="shared" si="1"/>
        <v>8305039.8611712009</v>
      </c>
    </row>
    <row r="31" spans="1:15" x14ac:dyDescent="0.25">
      <c r="A31" s="20" t="s">
        <v>4</v>
      </c>
      <c r="B31" s="21">
        <v>16590</v>
      </c>
      <c r="C31" s="22">
        <v>179</v>
      </c>
      <c r="D31" s="53">
        <v>1</v>
      </c>
      <c r="E31" s="23">
        <v>1.3721498999999999</v>
      </c>
      <c r="F31" s="22">
        <v>0</v>
      </c>
      <c r="G31" s="22">
        <v>4074750</v>
      </c>
      <c r="H31" s="22">
        <v>0</v>
      </c>
      <c r="I31" s="22">
        <f t="shared" ref="I31:I35" si="9">G31-H31</f>
        <v>4074750</v>
      </c>
      <c r="J31" s="28">
        <v>0.9434752872954254</v>
      </c>
      <c r="K31" s="28">
        <f t="shared" ref="K31:K35" si="10">ROUND(L31/I31/J31,7)</f>
        <v>0.99293109999999996</v>
      </c>
      <c r="L31" s="24">
        <v>3817250</v>
      </c>
      <c r="M31" s="47">
        <f t="shared" si="0"/>
        <v>1.3721498999999999</v>
      </c>
      <c r="O31" s="4">
        <f t="shared" si="1"/>
        <v>4074750.0645389999</v>
      </c>
    </row>
    <row r="32" spans="1:15" x14ac:dyDescent="0.25">
      <c r="A32" s="26" t="s">
        <v>5</v>
      </c>
      <c r="B32" s="21">
        <v>10839</v>
      </c>
      <c r="C32" s="22">
        <v>179</v>
      </c>
      <c r="D32" s="53">
        <v>1</v>
      </c>
      <c r="E32" s="23">
        <v>0.56597299999999995</v>
      </c>
      <c r="F32" s="22">
        <v>0</v>
      </c>
      <c r="G32" s="22">
        <v>1098090</v>
      </c>
      <c r="H32" s="22">
        <v>0</v>
      </c>
      <c r="I32" s="22">
        <f t="shared" si="9"/>
        <v>1098090</v>
      </c>
      <c r="J32" s="28">
        <v>0.9434752872954254</v>
      </c>
      <c r="K32" s="28">
        <f t="shared" si="10"/>
        <v>1.0393904</v>
      </c>
      <c r="L32" s="24">
        <v>1076830</v>
      </c>
      <c r="M32" s="47">
        <f t="shared" si="0"/>
        <v>0.56597299999999995</v>
      </c>
      <c r="O32" s="4">
        <f t="shared" si="1"/>
        <v>1098090.0611129999</v>
      </c>
    </row>
    <row r="33" spans="1:15" x14ac:dyDescent="0.25">
      <c r="A33" s="20" t="s">
        <v>8</v>
      </c>
      <c r="B33" s="21">
        <v>8883</v>
      </c>
      <c r="C33" s="22">
        <v>179</v>
      </c>
      <c r="D33" s="53">
        <v>1</v>
      </c>
      <c r="E33" s="49">
        <v>0.96191519999999997</v>
      </c>
      <c r="F33" s="22">
        <v>0</v>
      </c>
      <c r="G33" s="22">
        <v>1529500</v>
      </c>
      <c r="H33" s="22">
        <v>0</v>
      </c>
      <c r="I33" s="22">
        <f t="shared" si="9"/>
        <v>1529500</v>
      </c>
      <c r="J33" s="28">
        <v>0.9434752872954254</v>
      </c>
      <c r="K33" s="28">
        <f t="shared" si="10"/>
        <v>1.0499323</v>
      </c>
      <c r="L33" s="24">
        <v>1515100</v>
      </c>
      <c r="M33" s="47">
        <f t="shared" si="0"/>
        <v>0.96191519999999997</v>
      </c>
      <c r="O33" s="4">
        <f t="shared" si="1"/>
        <v>1529499.9971663998</v>
      </c>
    </row>
    <row r="34" spans="1:15" x14ac:dyDescent="0.25">
      <c r="A34" s="20" t="s">
        <v>9</v>
      </c>
      <c r="B34" s="21">
        <v>0</v>
      </c>
      <c r="C34" s="22">
        <v>179</v>
      </c>
      <c r="D34" s="53">
        <v>1</v>
      </c>
      <c r="E34" s="23" t="e">
        <v>#DIV/0!</v>
      </c>
      <c r="F34" s="22">
        <v>0</v>
      </c>
      <c r="G34" s="22"/>
      <c r="H34" s="22">
        <v>0</v>
      </c>
      <c r="I34" s="22">
        <f t="shared" si="9"/>
        <v>0</v>
      </c>
      <c r="J34" s="28">
        <v>0</v>
      </c>
      <c r="K34" s="28">
        <v>0</v>
      </c>
      <c r="L34" s="24">
        <v>0</v>
      </c>
      <c r="M34" s="47" t="e">
        <f t="shared" si="0"/>
        <v>#DIV/0!</v>
      </c>
      <c r="O34" s="4" t="e">
        <f t="shared" si="1"/>
        <v>#DIV/0!</v>
      </c>
    </row>
    <row r="35" spans="1:15" ht="26.25" x14ac:dyDescent="0.25">
      <c r="A35" s="26" t="s">
        <v>6</v>
      </c>
      <c r="B35" s="21">
        <v>5800</v>
      </c>
      <c r="C35" s="22">
        <v>179</v>
      </c>
      <c r="D35" s="53">
        <v>1</v>
      </c>
      <c r="E35" s="23">
        <v>1.5437295</v>
      </c>
      <c r="F35" s="22">
        <v>0</v>
      </c>
      <c r="G35" s="22">
        <v>1602700</v>
      </c>
      <c r="H35" s="22">
        <v>0</v>
      </c>
      <c r="I35" s="22">
        <f t="shared" si="9"/>
        <v>1602700</v>
      </c>
      <c r="J35" s="28">
        <v>0.9434752872954254</v>
      </c>
      <c r="K35" s="28">
        <f t="shared" si="10"/>
        <v>0.94333219999999995</v>
      </c>
      <c r="L35" s="24">
        <v>1426420</v>
      </c>
      <c r="M35" s="47">
        <f t="shared" si="0"/>
        <v>1.5437295</v>
      </c>
      <c r="O35" s="4">
        <f t="shared" si="1"/>
        <v>1602699.9668999999</v>
      </c>
    </row>
    <row r="36" spans="1:15" ht="71.25" x14ac:dyDescent="0.25">
      <c r="A36" s="15" t="s">
        <v>36</v>
      </c>
      <c r="B36" s="16">
        <f>SUM(B37:B42)</f>
        <v>185690</v>
      </c>
      <c r="C36" s="17">
        <v>179</v>
      </c>
      <c r="D36" s="53">
        <v>1</v>
      </c>
      <c r="E36" s="18">
        <v>1.0576014</v>
      </c>
      <c r="F36" s="17">
        <f>F37+F38+F39+F40+F41+F42</f>
        <v>0</v>
      </c>
      <c r="G36" s="17">
        <f>SUM(G37:G42)</f>
        <v>35153095</v>
      </c>
      <c r="H36" s="17">
        <f>SUM(H37:H42)</f>
        <v>0</v>
      </c>
      <c r="I36" s="17">
        <f>SUM(I37:I42)</f>
        <v>35153095</v>
      </c>
      <c r="J36" s="19">
        <f t="shared" si="4"/>
        <v>0.93420237961977459</v>
      </c>
      <c r="K36" s="19" t="s">
        <v>56</v>
      </c>
      <c r="L36" s="17">
        <f>SUM(L37:L42)</f>
        <v>32840105</v>
      </c>
      <c r="M36" s="47">
        <f t="shared" si="0"/>
        <v>1.0576014</v>
      </c>
      <c r="O36" s="4">
        <f t="shared" si="1"/>
        <v>35153094.709913999</v>
      </c>
    </row>
    <row r="37" spans="1:15" x14ac:dyDescent="0.25">
      <c r="A37" s="20" t="s">
        <v>4</v>
      </c>
      <c r="B37" s="21">
        <v>76816</v>
      </c>
      <c r="C37" s="22">
        <v>179</v>
      </c>
      <c r="D37" s="53">
        <v>1</v>
      </c>
      <c r="E37" s="23">
        <v>1.2694049999999999</v>
      </c>
      <c r="F37" s="22">
        <v>0</v>
      </c>
      <c r="G37" s="22">
        <v>17454400</v>
      </c>
      <c r="H37" s="22">
        <v>0</v>
      </c>
      <c r="I37" s="22">
        <f t="shared" ref="I37:I42" si="11">G37-H37</f>
        <v>17454400</v>
      </c>
      <c r="J37" s="28">
        <v>0.93420237961977459</v>
      </c>
      <c r="K37" s="28">
        <f t="shared" ref="K37:K42" si="12">ROUND(L37/I37/J37,7)</f>
        <v>1.0029718000000001</v>
      </c>
      <c r="L37" s="24">
        <v>16354400</v>
      </c>
      <c r="M37" s="47">
        <f t="shared" si="0"/>
        <v>1.2694049999999999</v>
      </c>
      <c r="O37" s="4">
        <f t="shared" si="1"/>
        <v>17454399.991919998</v>
      </c>
    </row>
    <row r="38" spans="1:15" x14ac:dyDescent="0.25">
      <c r="A38" s="26" t="s">
        <v>5</v>
      </c>
      <c r="B38" s="21">
        <v>17261</v>
      </c>
      <c r="C38" s="22">
        <v>179</v>
      </c>
      <c r="D38" s="53">
        <v>1</v>
      </c>
      <c r="E38" s="23">
        <v>0.59232090000000004</v>
      </c>
      <c r="F38" s="22">
        <v>0</v>
      </c>
      <c r="G38" s="22">
        <v>1830105</v>
      </c>
      <c r="H38" s="22">
        <v>0</v>
      </c>
      <c r="I38" s="22">
        <f t="shared" si="11"/>
        <v>1830105</v>
      </c>
      <c r="J38" s="28">
        <v>0.93420237961977459</v>
      </c>
      <c r="K38" s="28">
        <f t="shared" si="12"/>
        <v>1.0497262999999999</v>
      </c>
      <c r="L38" s="24">
        <v>1794705</v>
      </c>
      <c r="M38" s="47">
        <f t="shared" si="0"/>
        <v>0.59232090000000004</v>
      </c>
      <c r="O38" s="4">
        <f t="shared" si="1"/>
        <v>1830105.1388271002</v>
      </c>
    </row>
    <row r="39" spans="1:15" ht="26.25" x14ac:dyDescent="0.25">
      <c r="A39" s="26" t="s">
        <v>6</v>
      </c>
      <c r="B39" s="21">
        <v>30800</v>
      </c>
      <c r="C39" s="22">
        <v>179</v>
      </c>
      <c r="D39" s="53">
        <v>1</v>
      </c>
      <c r="E39" s="23">
        <v>1.550341</v>
      </c>
      <c r="F39" s="22">
        <v>0</v>
      </c>
      <c r="G39" s="22">
        <v>8547340</v>
      </c>
      <c r="H39" s="22">
        <v>0</v>
      </c>
      <c r="I39" s="22">
        <f t="shared" si="11"/>
        <v>8547340</v>
      </c>
      <c r="J39" s="28">
        <v>0.93420237961977459</v>
      </c>
      <c r="K39" s="28">
        <f t="shared" si="12"/>
        <v>0.95268529999999996</v>
      </c>
      <c r="L39" s="24">
        <v>7607140</v>
      </c>
      <c r="M39" s="47">
        <f t="shared" si="0"/>
        <v>1.550341</v>
      </c>
      <c r="O39" s="4">
        <f t="shared" si="1"/>
        <v>8547340.0011999998</v>
      </c>
    </row>
    <row r="40" spans="1:15" x14ac:dyDescent="0.25">
      <c r="A40" s="20" t="s">
        <v>7</v>
      </c>
      <c r="B40" s="21">
        <v>11956</v>
      </c>
      <c r="C40" s="22">
        <v>179</v>
      </c>
      <c r="D40" s="53">
        <v>1</v>
      </c>
      <c r="E40" s="23">
        <v>0.55446790000000001</v>
      </c>
      <c r="F40" s="22">
        <v>0</v>
      </c>
      <c r="G40" s="22">
        <v>1186630</v>
      </c>
      <c r="H40" s="22">
        <v>0</v>
      </c>
      <c r="I40" s="22">
        <f t="shared" si="11"/>
        <v>1186630</v>
      </c>
      <c r="J40" s="28">
        <v>0.93420237961977459</v>
      </c>
      <c r="K40" s="28">
        <f t="shared" si="12"/>
        <v>0.99722829999999996</v>
      </c>
      <c r="L40" s="24">
        <v>1105480</v>
      </c>
      <c r="M40" s="47">
        <f t="shared" ref="M40:M76" si="13">ROUND((G40-F40)/(B40*C40),7)</f>
        <v>0.55446790000000001</v>
      </c>
      <c r="O40" s="4">
        <f t="shared" ref="O40:O76" si="14">(B40*C40*D40*E40)+F40</f>
        <v>1186630.0600196</v>
      </c>
    </row>
    <row r="41" spans="1:15" x14ac:dyDescent="0.25">
      <c r="A41" s="20" t="s">
        <v>8</v>
      </c>
      <c r="B41" s="21">
        <v>20146</v>
      </c>
      <c r="C41" s="22">
        <v>179</v>
      </c>
      <c r="D41" s="53">
        <v>1</v>
      </c>
      <c r="E41" s="23">
        <v>0.95434330000000001</v>
      </c>
      <c r="F41" s="22">
        <v>0</v>
      </c>
      <c r="G41" s="22">
        <v>3441490</v>
      </c>
      <c r="H41" s="22">
        <v>0</v>
      </c>
      <c r="I41" s="22">
        <f t="shared" si="11"/>
        <v>3441490</v>
      </c>
      <c r="J41" s="28">
        <v>0.93420237961977459</v>
      </c>
      <c r="K41" s="28">
        <f t="shared" si="12"/>
        <v>1.0603543</v>
      </c>
      <c r="L41" s="24">
        <v>3409090</v>
      </c>
      <c r="M41" s="47">
        <f t="shared" si="13"/>
        <v>0.95434330000000001</v>
      </c>
      <c r="O41" s="4">
        <f t="shared" si="14"/>
        <v>3441489.8218021998</v>
      </c>
    </row>
    <row r="42" spans="1:15" x14ac:dyDescent="0.25">
      <c r="A42" s="20" t="s">
        <v>9</v>
      </c>
      <c r="B42" s="21">
        <v>28711</v>
      </c>
      <c r="C42" s="22">
        <v>179</v>
      </c>
      <c r="D42" s="53">
        <v>1</v>
      </c>
      <c r="E42" s="23">
        <v>0.52402979999999999</v>
      </c>
      <c r="F42" s="22">
        <v>0</v>
      </c>
      <c r="G42" s="22">
        <v>2693130</v>
      </c>
      <c r="H42" s="22">
        <v>0</v>
      </c>
      <c r="I42" s="22">
        <f t="shared" si="11"/>
        <v>2693130</v>
      </c>
      <c r="J42" s="28">
        <v>0.93420237961977459</v>
      </c>
      <c r="K42" s="28">
        <f t="shared" si="12"/>
        <v>1.0212095000000001</v>
      </c>
      <c r="L42" s="24">
        <v>2569290</v>
      </c>
      <c r="M42" s="47">
        <f t="shared" si="13"/>
        <v>0.52402979999999999</v>
      </c>
      <c r="O42" s="4">
        <f t="shared" si="14"/>
        <v>2693130.1062162002</v>
      </c>
    </row>
    <row r="43" spans="1:15" ht="71.25" x14ac:dyDescent="0.25">
      <c r="A43" s="15" t="s">
        <v>37</v>
      </c>
      <c r="B43" s="16">
        <f>SUM(B44:B46)</f>
        <v>57832</v>
      </c>
      <c r="C43" s="17">
        <v>179</v>
      </c>
      <c r="D43" s="53">
        <v>1</v>
      </c>
      <c r="E43" s="18">
        <v>1.2754665999999999</v>
      </c>
      <c r="F43" s="17">
        <f>F44+F45+F46</f>
        <v>0</v>
      </c>
      <c r="G43" s="17">
        <f>SUM(G44:G46)</f>
        <v>13203538</v>
      </c>
      <c r="H43" s="17">
        <f>SUM(H44:H46)</f>
        <v>0</v>
      </c>
      <c r="I43" s="17">
        <f>SUM(I44:I46)</f>
        <v>13203538</v>
      </c>
      <c r="J43" s="19">
        <f t="shared" si="4"/>
        <v>0.92597665868042334</v>
      </c>
      <c r="K43" s="19" t="s">
        <v>56</v>
      </c>
      <c r="L43" s="17">
        <f>SUM(L44:L46)</f>
        <v>12226168</v>
      </c>
      <c r="M43" s="47">
        <f t="shared" si="13"/>
        <v>1.2754665999999999</v>
      </c>
      <c r="O43" s="4">
        <f t="shared" si="14"/>
        <v>13203538.409604799</v>
      </c>
    </row>
    <row r="44" spans="1:15" x14ac:dyDescent="0.25">
      <c r="A44" s="20" t="s">
        <v>4</v>
      </c>
      <c r="B44" s="21">
        <v>38713</v>
      </c>
      <c r="C44" s="22">
        <v>179</v>
      </c>
      <c r="D44" s="53">
        <v>1</v>
      </c>
      <c r="E44" s="23">
        <v>1.26014</v>
      </c>
      <c r="F44" s="22">
        <v>0</v>
      </c>
      <c r="G44" s="22">
        <v>8732300</v>
      </c>
      <c r="H44" s="22">
        <v>0</v>
      </c>
      <c r="I44" s="22">
        <f t="shared" ref="I44:I51" si="15">G44-H44</f>
        <v>8732300</v>
      </c>
      <c r="J44" s="28">
        <v>0.92597665868042334</v>
      </c>
      <c r="K44" s="28">
        <f t="shared" ref="K44:K46" si="16">ROUND(L44/I44/J44,7)</f>
        <v>1.0116863</v>
      </c>
      <c r="L44" s="24">
        <v>8180400</v>
      </c>
      <c r="M44" s="47">
        <f t="shared" si="13"/>
        <v>1.26014</v>
      </c>
      <c r="O44" s="4">
        <f t="shared" si="14"/>
        <v>8732300.1677800007</v>
      </c>
    </row>
    <row r="45" spans="1:15" x14ac:dyDescent="0.25">
      <c r="A45" s="26" t="s">
        <v>5</v>
      </c>
      <c r="B45" s="27">
        <v>5619</v>
      </c>
      <c r="C45" s="22">
        <v>179</v>
      </c>
      <c r="D45" s="53">
        <v>1</v>
      </c>
      <c r="E45" s="23">
        <v>0.72752760000000005</v>
      </c>
      <c r="F45" s="22">
        <v>0</v>
      </c>
      <c r="G45" s="22">
        <v>731748</v>
      </c>
      <c r="H45" s="22">
        <v>0</v>
      </c>
      <c r="I45" s="22">
        <f t="shared" si="15"/>
        <v>731748</v>
      </c>
      <c r="J45" s="28">
        <v>0.92597665868042334</v>
      </c>
      <c r="K45" s="28">
        <f t="shared" si="16"/>
        <v>1.0590282</v>
      </c>
      <c r="L45" s="24">
        <v>717578</v>
      </c>
      <c r="M45" s="47">
        <f t="shared" si="13"/>
        <v>0.72752760000000005</v>
      </c>
      <c r="O45" s="4">
        <f t="shared" si="14"/>
        <v>731747.98760760005</v>
      </c>
    </row>
    <row r="46" spans="1:15" ht="26.25" x14ac:dyDescent="0.25">
      <c r="A46" s="26" t="s">
        <v>6</v>
      </c>
      <c r="B46" s="46">
        <v>13500</v>
      </c>
      <c r="C46" s="22">
        <v>179</v>
      </c>
      <c r="D46" s="53">
        <v>1</v>
      </c>
      <c r="E46" s="23">
        <v>1.5474819</v>
      </c>
      <c r="F46" s="22">
        <v>0</v>
      </c>
      <c r="G46" s="22">
        <v>3739490</v>
      </c>
      <c r="H46" s="22">
        <v>0</v>
      </c>
      <c r="I46" s="22">
        <f t="shared" si="15"/>
        <v>3739490</v>
      </c>
      <c r="J46" s="28">
        <v>0.92597665868042334</v>
      </c>
      <c r="K46" s="28">
        <f t="shared" si="16"/>
        <v>0.96116000000000001</v>
      </c>
      <c r="L46" s="24">
        <v>3328190</v>
      </c>
      <c r="M46" s="47">
        <f t="shared" si="13"/>
        <v>1.5474819</v>
      </c>
      <c r="O46" s="4">
        <f t="shared" si="14"/>
        <v>3739490.0113499998</v>
      </c>
    </row>
    <row r="47" spans="1:15" ht="58.5" customHeight="1" x14ac:dyDescent="0.25">
      <c r="A47" s="15" t="s">
        <v>38</v>
      </c>
      <c r="B47" s="16">
        <f>SUM(B48:B51)</f>
        <v>71709</v>
      </c>
      <c r="C47" s="17">
        <v>179</v>
      </c>
      <c r="D47" s="53">
        <v>1</v>
      </c>
      <c r="E47" s="18">
        <v>0.93326410000000004</v>
      </c>
      <c r="F47" s="17">
        <f>F48+F50+F51</f>
        <v>0</v>
      </c>
      <c r="G47" s="17">
        <f>SUM(G48:G51)</f>
        <v>11979295</v>
      </c>
      <c r="H47" s="17">
        <f>SUM(H48:H51)</f>
        <v>0</v>
      </c>
      <c r="I47" s="17">
        <f t="shared" si="15"/>
        <v>11979295</v>
      </c>
      <c r="J47" s="19">
        <f t="shared" si="4"/>
        <v>0.91313345234423227</v>
      </c>
      <c r="K47" s="19" t="s">
        <v>56</v>
      </c>
      <c r="L47" s="17">
        <f>SUM(L48:L51)</f>
        <v>10938695</v>
      </c>
      <c r="M47" s="47">
        <f t="shared" si="13"/>
        <v>0.93326410000000004</v>
      </c>
      <c r="O47" s="4">
        <f t="shared" si="14"/>
        <v>11979294.9270951</v>
      </c>
    </row>
    <row r="48" spans="1:15" ht="18" customHeight="1" x14ac:dyDescent="0.25">
      <c r="A48" s="2" t="s">
        <v>7</v>
      </c>
      <c r="B48" s="21">
        <v>26964</v>
      </c>
      <c r="C48" s="22">
        <v>179</v>
      </c>
      <c r="D48" s="53">
        <v>1</v>
      </c>
      <c r="E48" s="23">
        <v>0.55315429999999999</v>
      </c>
      <c r="F48" s="22">
        <v>0</v>
      </c>
      <c r="G48" s="22">
        <v>2669830</v>
      </c>
      <c r="H48" s="22">
        <v>0</v>
      </c>
      <c r="I48" s="22">
        <f t="shared" si="15"/>
        <v>2669830</v>
      </c>
      <c r="J48" s="28">
        <v>0.91313345234423227</v>
      </c>
      <c r="K48" s="28">
        <f t="shared" ref="K48:K51" si="17">ROUND(L48/I48/J48,7)</f>
        <v>1.02023</v>
      </c>
      <c r="L48" s="24">
        <v>2487230</v>
      </c>
      <c r="M48" s="47">
        <f t="shared" si="13"/>
        <v>0.55315429999999999</v>
      </c>
      <c r="O48" s="4">
        <f t="shared" si="14"/>
        <v>2669830.2055907999</v>
      </c>
    </row>
    <row r="49" spans="1:15" ht="18" customHeight="1" x14ac:dyDescent="0.25">
      <c r="A49" s="20" t="s">
        <v>8</v>
      </c>
      <c r="B49" s="21">
        <v>0</v>
      </c>
      <c r="C49" s="22">
        <v>179</v>
      </c>
      <c r="D49" s="53">
        <v>1</v>
      </c>
      <c r="E49" s="23" t="e">
        <v>#DIV/0!</v>
      </c>
      <c r="F49" s="22">
        <v>0</v>
      </c>
      <c r="G49" s="22"/>
      <c r="H49" s="22">
        <v>0</v>
      </c>
      <c r="I49" s="22">
        <f t="shared" ref="I49" si="18">G49-H49</f>
        <v>0</v>
      </c>
      <c r="J49" s="28">
        <v>0</v>
      </c>
      <c r="K49" s="28">
        <v>0</v>
      </c>
      <c r="L49" s="24">
        <v>0</v>
      </c>
      <c r="M49" s="47" t="e">
        <f t="shared" si="13"/>
        <v>#DIV/0!</v>
      </c>
      <c r="O49" s="4" t="e">
        <f t="shared" si="14"/>
        <v>#DIV/0!</v>
      </c>
    </row>
    <row r="50" spans="1:15" ht="26.25" customHeight="1" x14ac:dyDescent="0.25">
      <c r="A50" s="3" t="s">
        <v>5</v>
      </c>
      <c r="B50" s="21">
        <v>17745</v>
      </c>
      <c r="C50" s="22">
        <v>179</v>
      </c>
      <c r="D50" s="53">
        <v>1</v>
      </c>
      <c r="E50" s="23">
        <v>0.57616509999999999</v>
      </c>
      <c r="F50" s="22">
        <v>0</v>
      </c>
      <c r="G50" s="22">
        <v>1830105</v>
      </c>
      <c r="H50" s="22">
        <v>0</v>
      </c>
      <c r="I50" s="22">
        <f t="shared" si="15"/>
        <v>1830105</v>
      </c>
      <c r="J50" s="28">
        <v>0.91313345234423227</v>
      </c>
      <c r="K50" s="28">
        <f t="shared" si="17"/>
        <v>1.0739468999999999</v>
      </c>
      <c r="L50" s="24">
        <v>1794705</v>
      </c>
      <c r="M50" s="47">
        <f t="shared" si="13"/>
        <v>0.57616509999999999</v>
      </c>
      <c r="O50" s="4">
        <f t="shared" si="14"/>
        <v>1830104.8962105</v>
      </c>
    </row>
    <row r="51" spans="1:15" ht="30" customHeight="1" x14ac:dyDescent="0.25">
      <c r="A51" s="3" t="s">
        <v>6</v>
      </c>
      <c r="B51" s="21">
        <v>27000</v>
      </c>
      <c r="C51" s="22">
        <v>179</v>
      </c>
      <c r="D51" s="53">
        <v>1</v>
      </c>
      <c r="E51" s="23">
        <v>1.5475604999999999</v>
      </c>
      <c r="F51" s="22">
        <v>0</v>
      </c>
      <c r="G51" s="22">
        <v>7479360</v>
      </c>
      <c r="H51" s="22">
        <v>0</v>
      </c>
      <c r="I51" s="22">
        <f t="shared" si="15"/>
        <v>7479360</v>
      </c>
      <c r="J51" s="28">
        <v>0.91313345234423227</v>
      </c>
      <c r="K51" s="28">
        <f t="shared" si="17"/>
        <v>0.97468480000000002</v>
      </c>
      <c r="L51" s="24">
        <v>6656760</v>
      </c>
      <c r="M51" s="47">
        <f t="shared" si="13"/>
        <v>1.5475604999999999</v>
      </c>
      <c r="O51" s="4">
        <f t="shared" si="14"/>
        <v>7479359.8964999998</v>
      </c>
    </row>
    <row r="52" spans="1:15" ht="71.25" x14ac:dyDescent="0.25">
      <c r="A52" s="15" t="s">
        <v>39</v>
      </c>
      <c r="B52" s="16">
        <f>B53+B54</f>
        <v>7979</v>
      </c>
      <c r="C52" s="17">
        <v>179</v>
      </c>
      <c r="D52" s="53">
        <v>1</v>
      </c>
      <c r="E52" s="18">
        <v>0.78122599999999998</v>
      </c>
      <c r="F52" s="17">
        <f>F53</f>
        <v>0</v>
      </c>
      <c r="G52" s="17">
        <f>G53+G54</f>
        <v>1115779</v>
      </c>
      <c r="H52" s="17">
        <f>SUM(H53:H53)</f>
        <v>0</v>
      </c>
      <c r="I52" s="17">
        <f>I53+I54</f>
        <v>1115779</v>
      </c>
      <c r="J52" s="19">
        <f t="shared" si="4"/>
        <v>0.9144991974217116</v>
      </c>
      <c r="K52" s="19" t="s">
        <v>56</v>
      </c>
      <c r="L52" s="17">
        <f>L53+L54</f>
        <v>1020379</v>
      </c>
      <c r="M52" s="47">
        <f t="shared" si="13"/>
        <v>0.78122599999999998</v>
      </c>
      <c r="O52" s="4">
        <f t="shared" si="14"/>
        <v>1115779.0034660001</v>
      </c>
    </row>
    <row r="53" spans="1:15" x14ac:dyDescent="0.25">
      <c r="A53" s="20" t="s">
        <v>4</v>
      </c>
      <c r="B53" s="21">
        <v>3479</v>
      </c>
      <c r="C53" s="22">
        <v>179</v>
      </c>
      <c r="D53" s="53">
        <v>1</v>
      </c>
      <c r="E53" s="23">
        <v>0.93415879999999996</v>
      </c>
      <c r="F53" s="22">
        <v>0</v>
      </c>
      <c r="G53" s="22">
        <v>581739</v>
      </c>
      <c r="H53" s="22">
        <v>0</v>
      </c>
      <c r="I53" s="22">
        <f>G53-H53</f>
        <v>581739</v>
      </c>
      <c r="J53" s="28">
        <v>0.9144991974217116</v>
      </c>
      <c r="K53" s="28">
        <f t="shared" ref="K53:K54" si="19">ROUND(L53/I53/J53,7)</f>
        <v>1.0245097000000001</v>
      </c>
      <c r="L53" s="24">
        <v>545039</v>
      </c>
      <c r="M53" s="47">
        <f t="shared" si="13"/>
        <v>0.93415879999999996</v>
      </c>
      <c r="O53" s="4">
        <f t="shared" si="14"/>
        <v>581738.98527079995</v>
      </c>
    </row>
    <row r="54" spans="1:15" ht="26.25" x14ac:dyDescent="0.25">
      <c r="A54" s="3" t="s">
        <v>6</v>
      </c>
      <c r="B54" s="21">
        <v>4500</v>
      </c>
      <c r="C54" s="22">
        <v>179</v>
      </c>
      <c r="D54" s="53">
        <v>1</v>
      </c>
      <c r="E54" s="23">
        <v>0.66299189999999997</v>
      </c>
      <c r="F54" s="22">
        <v>0</v>
      </c>
      <c r="G54" s="22">
        <v>534040</v>
      </c>
      <c r="H54" s="22">
        <v>0</v>
      </c>
      <c r="I54" s="22">
        <f>G54-H54</f>
        <v>534040</v>
      </c>
      <c r="J54" s="28">
        <v>0.9144991974217116</v>
      </c>
      <c r="K54" s="28">
        <f t="shared" si="19"/>
        <v>0.97330119999999998</v>
      </c>
      <c r="L54" s="24">
        <v>475340</v>
      </c>
      <c r="M54" s="47">
        <f t="shared" si="13"/>
        <v>0.66299189999999997</v>
      </c>
      <c r="O54" s="4">
        <f t="shared" si="14"/>
        <v>534039.97545000003</v>
      </c>
    </row>
    <row r="55" spans="1:15" ht="69.75" customHeight="1" x14ac:dyDescent="0.25">
      <c r="A55" s="15" t="s">
        <v>40</v>
      </c>
      <c r="B55" s="35">
        <f>B56</f>
        <v>5032</v>
      </c>
      <c r="C55" s="17">
        <v>179</v>
      </c>
      <c r="D55" s="53">
        <v>1</v>
      </c>
      <c r="E55" s="18">
        <v>1.2921214999999999</v>
      </c>
      <c r="F55" s="17">
        <f>F56</f>
        <v>0</v>
      </c>
      <c r="G55" s="17">
        <f t="shared" ref="G55:L55" si="20">G56</f>
        <v>1163850</v>
      </c>
      <c r="H55" s="17">
        <f t="shared" si="20"/>
        <v>0</v>
      </c>
      <c r="I55" s="17">
        <f>I56</f>
        <v>1163850</v>
      </c>
      <c r="J55" s="19">
        <f t="shared" si="4"/>
        <v>0.9368475318984405</v>
      </c>
      <c r="K55" s="19" t="s">
        <v>56</v>
      </c>
      <c r="L55" s="31">
        <f t="shared" si="20"/>
        <v>1090350</v>
      </c>
      <c r="M55" s="47">
        <f t="shared" si="13"/>
        <v>1.2921214999999999</v>
      </c>
      <c r="O55" s="4">
        <f t="shared" si="14"/>
        <v>1163850.0144519999</v>
      </c>
    </row>
    <row r="56" spans="1:15" ht="20.25" customHeight="1" x14ac:dyDescent="0.25">
      <c r="A56" s="20" t="s">
        <v>4</v>
      </c>
      <c r="B56" s="21">
        <v>5032</v>
      </c>
      <c r="C56" s="22">
        <v>179</v>
      </c>
      <c r="D56" s="53">
        <v>1</v>
      </c>
      <c r="E56" s="23">
        <v>1.2921214999999999</v>
      </c>
      <c r="F56" s="22">
        <v>0</v>
      </c>
      <c r="G56" s="22">
        <v>1163850</v>
      </c>
      <c r="H56" s="22">
        <v>0</v>
      </c>
      <c r="I56" s="22">
        <f>G56-H56</f>
        <v>1163850</v>
      </c>
      <c r="J56" s="28">
        <f t="shared" si="4"/>
        <v>0.9368475318984405</v>
      </c>
      <c r="K56" s="28">
        <f>ROUND(L56/I56/J56,7)</f>
        <v>1</v>
      </c>
      <c r="L56" s="24">
        <v>1090350</v>
      </c>
      <c r="M56" s="47">
        <f t="shared" si="13"/>
        <v>1.2921214999999999</v>
      </c>
      <c r="O56" s="4">
        <f t="shared" si="14"/>
        <v>1163850.0144519999</v>
      </c>
    </row>
    <row r="57" spans="1:15" ht="55.5" customHeight="1" x14ac:dyDescent="0.25">
      <c r="A57" s="15" t="s">
        <v>41</v>
      </c>
      <c r="B57" s="36">
        <f>SUM(B58:B58)</f>
        <v>28220</v>
      </c>
      <c r="C57" s="17">
        <v>179</v>
      </c>
      <c r="D57" s="53">
        <v>1</v>
      </c>
      <c r="E57" s="18">
        <v>0.53314740000000005</v>
      </c>
      <c r="F57" s="17">
        <f>F58</f>
        <v>0</v>
      </c>
      <c r="G57" s="17">
        <f>SUM(G58:G58)</f>
        <v>2693130</v>
      </c>
      <c r="H57" s="17">
        <f>SUM(H58:H58)</f>
        <v>0</v>
      </c>
      <c r="I57" s="17">
        <f>SUM(I58:I58)</f>
        <v>2693130</v>
      </c>
      <c r="J57" s="19">
        <f t="shared" si="4"/>
        <v>0.95401633044078826</v>
      </c>
      <c r="K57" s="19" t="s">
        <v>56</v>
      </c>
      <c r="L57" s="31">
        <f>SUM(L58:L58)</f>
        <v>2569290</v>
      </c>
      <c r="M57" s="47">
        <f t="shared" si="13"/>
        <v>0.53314740000000005</v>
      </c>
      <c r="O57" s="4">
        <f t="shared" si="14"/>
        <v>2693130.1134120002</v>
      </c>
    </row>
    <row r="58" spans="1:15" x14ac:dyDescent="0.25">
      <c r="A58" s="20" t="s">
        <v>9</v>
      </c>
      <c r="B58" s="21">
        <v>28220</v>
      </c>
      <c r="C58" s="22">
        <v>179</v>
      </c>
      <c r="D58" s="53">
        <v>1</v>
      </c>
      <c r="E58" s="23">
        <v>0.53314740000000005</v>
      </c>
      <c r="F58" s="22">
        <v>0</v>
      </c>
      <c r="G58" s="22">
        <v>2693130</v>
      </c>
      <c r="H58" s="22">
        <v>0</v>
      </c>
      <c r="I58" s="22">
        <f>G58-H58</f>
        <v>2693130</v>
      </c>
      <c r="J58" s="28">
        <f t="shared" si="4"/>
        <v>0.95401633044078826</v>
      </c>
      <c r="K58" s="28">
        <f>ROUND(L58/I58/J58,7)</f>
        <v>1</v>
      </c>
      <c r="L58" s="24">
        <v>2569290</v>
      </c>
      <c r="M58" s="47">
        <f t="shared" si="13"/>
        <v>0.53314740000000005</v>
      </c>
      <c r="O58" s="4">
        <f t="shared" si="14"/>
        <v>2693130.1134120002</v>
      </c>
    </row>
    <row r="59" spans="1:15" ht="71.25" x14ac:dyDescent="0.25">
      <c r="A59" s="15" t="s">
        <v>42</v>
      </c>
      <c r="B59" s="35">
        <f>SUM(B60:B62)</f>
        <v>255170</v>
      </c>
      <c r="C59" s="17">
        <v>179</v>
      </c>
      <c r="D59" s="53">
        <v>1</v>
      </c>
      <c r="E59" s="18">
        <v>0.5561701</v>
      </c>
      <c r="F59" s="17">
        <f>F60+F61+F62</f>
        <v>0</v>
      </c>
      <c r="G59" s="17">
        <f t="shared" ref="G59:I59" si="21">SUM(G60:G62)</f>
        <v>25403310</v>
      </c>
      <c r="H59" s="17">
        <f>SUM(H60:H62)</f>
        <v>0</v>
      </c>
      <c r="I59" s="17">
        <f t="shared" si="21"/>
        <v>25403310</v>
      </c>
      <c r="J59" s="19">
        <f t="shared" si="4"/>
        <v>0.95758702310840593</v>
      </c>
      <c r="K59" s="19" t="s">
        <v>56</v>
      </c>
      <c r="L59" s="31">
        <f>SUM(L60:L62)</f>
        <v>24325880</v>
      </c>
      <c r="M59" s="47">
        <f t="shared" si="13"/>
        <v>0.5561701</v>
      </c>
      <c r="O59" s="4">
        <f t="shared" si="14"/>
        <v>25403308.470642999</v>
      </c>
    </row>
    <row r="60" spans="1:15" x14ac:dyDescent="0.25">
      <c r="A60" s="26" t="s">
        <v>5</v>
      </c>
      <c r="B60" s="21">
        <v>84625</v>
      </c>
      <c r="C60" s="22">
        <v>179</v>
      </c>
      <c r="D60" s="53">
        <v>1</v>
      </c>
      <c r="E60" s="23">
        <v>0.60431449999999998</v>
      </c>
      <c r="F60" s="22">
        <v>0</v>
      </c>
      <c r="G60" s="22">
        <v>9154080</v>
      </c>
      <c r="H60" s="22">
        <v>0</v>
      </c>
      <c r="I60" s="22">
        <f>G60-H60</f>
        <v>9154080</v>
      </c>
      <c r="J60" s="28">
        <v>0.95758702310840593</v>
      </c>
      <c r="K60" s="28">
        <f t="shared" ref="K60:K62" si="22">ROUND(L60/I60/J60,7)</f>
        <v>1.0240800999999999</v>
      </c>
      <c r="L60" s="24">
        <v>8976910</v>
      </c>
      <c r="M60" s="47">
        <f t="shared" si="13"/>
        <v>0.60431449999999998</v>
      </c>
      <c r="O60" s="4">
        <f t="shared" si="14"/>
        <v>9154080.5066874996</v>
      </c>
    </row>
    <row r="61" spans="1:15" x14ac:dyDescent="0.25">
      <c r="A61" s="20" t="s">
        <v>9</v>
      </c>
      <c r="B61" s="21">
        <v>103771</v>
      </c>
      <c r="C61" s="22">
        <v>179</v>
      </c>
      <c r="D61" s="53">
        <v>1</v>
      </c>
      <c r="E61" s="23">
        <v>0.50746409999999997</v>
      </c>
      <c r="F61" s="22">
        <v>0</v>
      </c>
      <c r="G61" s="22">
        <v>9426150</v>
      </c>
      <c r="H61" s="22">
        <v>0</v>
      </c>
      <c r="I61" s="22">
        <f>G61-H61</f>
        <v>9426150</v>
      </c>
      <c r="J61" s="28">
        <v>0.95758702310840593</v>
      </c>
      <c r="K61" s="28">
        <f t="shared" si="22"/>
        <v>0.99626990000000004</v>
      </c>
      <c r="L61" s="24">
        <v>8992690</v>
      </c>
      <c r="M61" s="47">
        <f t="shared" si="13"/>
        <v>0.50746409999999997</v>
      </c>
      <c r="O61" s="4">
        <f t="shared" si="14"/>
        <v>9426150.2246768996</v>
      </c>
    </row>
    <row r="62" spans="1:15" x14ac:dyDescent="0.25">
      <c r="A62" s="20" t="s">
        <v>26</v>
      </c>
      <c r="B62" s="21">
        <v>66774</v>
      </c>
      <c r="C62" s="22">
        <v>179</v>
      </c>
      <c r="D62" s="53">
        <v>1</v>
      </c>
      <c r="E62" s="23">
        <v>0.5708474</v>
      </c>
      <c r="F62" s="22">
        <v>0</v>
      </c>
      <c r="G62" s="22">
        <v>6823080</v>
      </c>
      <c r="H62" s="22">
        <v>0</v>
      </c>
      <c r="I62" s="22">
        <f>G62-H62</f>
        <v>6823080</v>
      </c>
      <c r="J62" s="28">
        <v>0.95758702310840593</v>
      </c>
      <c r="K62" s="28">
        <f t="shared" si="22"/>
        <v>0.97284649999999995</v>
      </c>
      <c r="L62" s="24">
        <v>6356280</v>
      </c>
      <c r="M62" s="47">
        <f t="shared" si="13"/>
        <v>0.5708474</v>
      </c>
      <c r="O62" s="4">
        <f t="shared" si="14"/>
        <v>6823079.8074804004</v>
      </c>
    </row>
    <row r="63" spans="1:15" ht="70.5" customHeight="1" x14ac:dyDescent="0.25">
      <c r="A63" s="15" t="s">
        <v>43</v>
      </c>
      <c r="B63" s="37">
        <f t="shared" ref="B63:L63" si="23">B64</f>
        <v>444000</v>
      </c>
      <c r="C63" s="17">
        <v>342.55</v>
      </c>
      <c r="D63" s="53">
        <v>1</v>
      </c>
      <c r="E63" s="18">
        <v>0.7178428</v>
      </c>
      <c r="F63" s="17">
        <f>F64</f>
        <v>595133.53</v>
      </c>
      <c r="G63" s="38">
        <f>G64</f>
        <v>109773424.09</v>
      </c>
      <c r="H63" s="38">
        <f>H64</f>
        <v>4362.33</v>
      </c>
      <c r="I63" s="38">
        <f>I64</f>
        <v>109769061.76000001</v>
      </c>
      <c r="J63" s="19">
        <f t="shared" si="4"/>
        <v>0.95837941668856608</v>
      </c>
      <c r="K63" s="19" t="s">
        <v>56</v>
      </c>
      <c r="L63" s="29">
        <f t="shared" si="23"/>
        <v>105200409.38</v>
      </c>
      <c r="M63" s="47">
        <f t="shared" si="13"/>
        <v>0.7178428</v>
      </c>
      <c r="O63" s="4">
        <f t="shared" si="14"/>
        <v>109773424.23616</v>
      </c>
    </row>
    <row r="64" spans="1:15" ht="19.5" customHeight="1" x14ac:dyDescent="0.25">
      <c r="A64" s="39" t="s">
        <v>11</v>
      </c>
      <c r="B64" s="40">
        <v>444000</v>
      </c>
      <c r="C64" s="22">
        <v>342.55</v>
      </c>
      <c r="D64" s="53">
        <v>1</v>
      </c>
      <c r="E64" s="23">
        <v>0.7178428</v>
      </c>
      <c r="F64" s="22">
        <v>595133.53</v>
      </c>
      <c r="G64" s="41">
        <f>109769061.76-590771.2+F64</f>
        <v>109773424.09</v>
      </c>
      <c r="H64" s="41">
        <v>4362.33</v>
      </c>
      <c r="I64" s="41">
        <f>G64-H64</f>
        <v>109769061.76000001</v>
      </c>
      <c r="J64" s="28">
        <f t="shared" si="4"/>
        <v>0.95837941668856608</v>
      </c>
      <c r="K64" s="28">
        <f>ROUND(L64/I64/J64,7)</f>
        <v>1</v>
      </c>
      <c r="L64" s="42">
        <v>105200409.38</v>
      </c>
      <c r="M64" s="47">
        <f t="shared" si="13"/>
        <v>0.7178428</v>
      </c>
      <c r="O64" s="4">
        <f t="shared" si="14"/>
        <v>109773424.23616</v>
      </c>
    </row>
    <row r="65" spans="1:15" ht="57" customHeight="1" x14ac:dyDescent="0.25">
      <c r="A65" s="15" t="s">
        <v>44</v>
      </c>
      <c r="B65" s="37">
        <f>B66</f>
        <v>53000</v>
      </c>
      <c r="C65" s="17">
        <v>1922.5</v>
      </c>
      <c r="D65" s="53">
        <v>1</v>
      </c>
      <c r="E65" s="18">
        <v>1.0622876000000001</v>
      </c>
      <c r="F65" s="17">
        <f>F66</f>
        <v>995046.95</v>
      </c>
      <c r="G65" s="38">
        <f>G66</f>
        <v>109234186.35000001</v>
      </c>
      <c r="H65" s="38">
        <f>H66</f>
        <v>25920627.32</v>
      </c>
      <c r="I65" s="38">
        <f>I66</f>
        <v>83313559.030000001</v>
      </c>
      <c r="J65" s="19">
        <f t="shared" si="4"/>
        <v>0.8979409695252818</v>
      </c>
      <c r="K65" s="19" t="s">
        <v>56</v>
      </c>
      <c r="L65" s="29">
        <f t="shared" ref="L65" si="24">L66</f>
        <v>74810657.969999999</v>
      </c>
      <c r="M65" s="47">
        <f t="shared" si="13"/>
        <v>1.0622876000000001</v>
      </c>
      <c r="O65" s="4">
        <f t="shared" si="14"/>
        <v>109234186.23300001</v>
      </c>
    </row>
    <row r="66" spans="1:15" ht="16.5" customHeight="1" x14ac:dyDescent="0.25">
      <c r="A66" s="26" t="s">
        <v>12</v>
      </c>
      <c r="B66" s="27">
        <v>53000</v>
      </c>
      <c r="C66" s="22">
        <v>1922.5</v>
      </c>
      <c r="D66" s="53">
        <v>1</v>
      </c>
      <c r="E66" s="23">
        <v>1.0622876000000001</v>
      </c>
      <c r="F66" s="22">
        <v>995046.95</v>
      </c>
      <c r="G66" s="41">
        <f>83313559.03-974419.63+F66+25900000</f>
        <v>109234186.35000001</v>
      </c>
      <c r="H66" s="41">
        <f>20627.32+25900000</f>
        <v>25920627.32</v>
      </c>
      <c r="I66" s="41">
        <f>G66-H66</f>
        <v>83313559.030000001</v>
      </c>
      <c r="J66" s="28">
        <f t="shared" si="4"/>
        <v>0.8979409695252818</v>
      </c>
      <c r="K66" s="28">
        <f>ROUND(L66/I66/J66,7)</f>
        <v>1</v>
      </c>
      <c r="L66" s="42">
        <v>74810657.969999999</v>
      </c>
      <c r="M66" s="47">
        <f t="shared" si="13"/>
        <v>1.0622876000000001</v>
      </c>
      <c r="O66" s="4">
        <f t="shared" si="14"/>
        <v>109234186.23300001</v>
      </c>
    </row>
    <row r="67" spans="1:15" ht="55.5" customHeight="1" x14ac:dyDescent="0.25">
      <c r="A67" s="15" t="s">
        <v>44</v>
      </c>
      <c r="B67" s="37">
        <f t="shared" ref="B67:L67" si="25">B68</f>
        <v>22000</v>
      </c>
      <c r="C67" s="17">
        <v>1922.5</v>
      </c>
      <c r="D67" s="53">
        <v>1</v>
      </c>
      <c r="E67" s="18">
        <v>1.4745218</v>
      </c>
      <c r="F67" s="17">
        <f>F68</f>
        <v>40118.230000000003</v>
      </c>
      <c r="G67" s="38">
        <f>G68</f>
        <v>62405018.199999996</v>
      </c>
      <c r="H67" s="38">
        <f>H68</f>
        <v>9200098.2899999991</v>
      </c>
      <c r="I67" s="38">
        <f>I68</f>
        <v>53204919.909999996</v>
      </c>
      <c r="J67" s="19">
        <f t="shared" si="4"/>
        <v>0.9844370745900819</v>
      </c>
      <c r="K67" s="19" t="s">
        <v>56</v>
      </c>
      <c r="L67" s="29">
        <f t="shared" si="25"/>
        <v>52376895.710000001</v>
      </c>
      <c r="M67" s="47">
        <f t="shared" si="13"/>
        <v>1.4745218</v>
      </c>
      <c r="O67" s="4">
        <f t="shared" si="14"/>
        <v>62405017.761</v>
      </c>
    </row>
    <row r="68" spans="1:15" x14ac:dyDescent="0.25">
      <c r="A68" s="26" t="s">
        <v>13</v>
      </c>
      <c r="B68" s="27">
        <v>22000</v>
      </c>
      <c r="C68" s="22">
        <v>1922.5</v>
      </c>
      <c r="D68" s="53">
        <v>1</v>
      </c>
      <c r="E68" s="23">
        <v>1.4745218</v>
      </c>
      <c r="F68" s="22">
        <v>40118.230000000003</v>
      </c>
      <c r="G68" s="41">
        <f>53204919.91-40019.94+F68+(9200000)</f>
        <v>62405018.199999996</v>
      </c>
      <c r="H68" s="41">
        <f>98.29+(9200000)</f>
        <v>9200098.2899999991</v>
      </c>
      <c r="I68" s="41">
        <f>G68-H68</f>
        <v>53204919.909999996</v>
      </c>
      <c r="J68" s="28">
        <f t="shared" si="4"/>
        <v>0.9844370745900819</v>
      </c>
      <c r="K68" s="28">
        <f>ROUND(L68/I68/J68,7)</f>
        <v>1</v>
      </c>
      <c r="L68" s="42">
        <v>52376895.710000001</v>
      </c>
      <c r="M68" s="47">
        <f t="shared" si="13"/>
        <v>1.4745218</v>
      </c>
      <c r="O68" s="4">
        <f t="shared" si="14"/>
        <v>62405017.761</v>
      </c>
    </row>
    <row r="69" spans="1:15" ht="78.75" customHeight="1" x14ac:dyDescent="0.25">
      <c r="A69" s="15" t="s">
        <v>45</v>
      </c>
      <c r="B69" s="37">
        <f t="shared" ref="B69:L71" si="26">B70</f>
        <v>22</v>
      </c>
      <c r="C69" s="17">
        <v>4338276.17</v>
      </c>
      <c r="D69" s="53">
        <v>1</v>
      </c>
      <c r="E69" s="18">
        <v>1.2784513</v>
      </c>
      <c r="F69" s="17">
        <f>F70</f>
        <v>0</v>
      </c>
      <c r="G69" s="38">
        <f>G70</f>
        <v>122018045.78</v>
      </c>
      <c r="H69" s="38">
        <f>H70</f>
        <v>26300000</v>
      </c>
      <c r="I69" s="38">
        <f>I70</f>
        <v>95718045.780000001</v>
      </c>
      <c r="J69" s="19">
        <f t="shared" si="4"/>
        <v>0.95240281795481507</v>
      </c>
      <c r="K69" s="19" t="s">
        <v>56</v>
      </c>
      <c r="L69" s="29">
        <f t="shared" si="26"/>
        <v>91162136.530000001</v>
      </c>
      <c r="M69" s="47">
        <f t="shared" si="13"/>
        <v>1.2784513</v>
      </c>
      <c r="O69" s="4">
        <f t="shared" si="14"/>
        <v>122018045.80450144</v>
      </c>
    </row>
    <row r="70" spans="1:15" x14ac:dyDescent="0.25">
      <c r="A70" s="26" t="s">
        <v>19</v>
      </c>
      <c r="B70" s="27">
        <v>22</v>
      </c>
      <c r="C70" s="22">
        <v>4338276.17</v>
      </c>
      <c r="D70" s="53">
        <v>1</v>
      </c>
      <c r="E70" s="23">
        <v>1.2784513</v>
      </c>
      <c r="F70" s="22">
        <v>0</v>
      </c>
      <c r="G70" s="41">
        <f>95718045.78+26300000</f>
        <v>122018045.78</v>
      </c>
      <c r="H70" s="41">
        <v>26300000</v>
      </c>
      <c r="I70" s="41">
        <f>G70-H70</f>
        <v>95718045.780000001</v>
      </c>
      <c r="J70" s="28">
        <f t="shared" si="4"/>
        <v>0.95240281795481507</v>
      </c>
      <c r="K70" s="28">
        <f>ROUND(L70/I70/J70,7)</f>
        <v>1</v>
      </c>
      <c r="L70" s="42">
        <v>91162136.530000001</v>
      </c>
      <c r="M70" s="47">
        <f t="shared" si="13"/>
        <v>1.2784513</v>
      </c>
      <c r="O70" s="4">
        <f t="shared" si="14"/>
        <v>122018045.80450144</v>
      </c>
    </row>
    <row r="71" spans="1:15" ht="54" customHeight="1" x14ac:dyDescent="0.25">
      <c r="A71" s="15" t="s">
        <v>46</v>
      </c>
      <c r="B71" s="37">
        <f t="shared" si="26"/>
        <v>14</v>
      </c>
      <c r="C71" s="17">
        <v>802750.69</v>
      </c>
      <c r="D71" s="53">
        <v>1</v>
      </c>
      <c r="E71" s="18">
        <v>0.18035290000000001</v>
      </c>
      <c r="F71" s="17">
        <f>F72</f>
        <v>0</v>
      </c>
      <c r="G71" s="38">
        <f>G72</f>
        <v>2026897.3</v>
      </c>
      <c r="H71" s="38">
        <f>H72</f>
        <v>0</v>
      </c>
      <c r="I71" s="38">
        <f>I72</f>
        <v>2026897.3</v>
      </c>
      <c r="J71" s="19">
        <f t="shared" si="4"/>
        <v>1</v>
      </c>
      <c r="K71" s="19" t="s">
        <v>56</v>
      </c>
      <c r="L71" s="29">
        <f t="shared" si="26"/>
        <v>2026897.3</v>
      </c>
      <c r="M71" s="47">
        <f t="shared" si="13"/>
        <v>0.18035290000000001</v>
      </c>
      <c r="O71" s="4">
        <f t="shared" si="14"/>
        <v>2026897.8088590142</v>
      </c>
    </row>
    <row r="72" spans="1:15" x14ac:dyDescent="0.25">
      <c r="A72" s="26" t="s">
        <v>19</v>
      </c>
      <c r="B72" s="27">
        <v>14</v>
      </c>
      <c r="C72" s="22">
        <v>802750.69</v>
      </c>
      <c r="D72" s="53">
        <v>1</v>
      </c>
      <c r="E72" s="23">
        <v>0.18035290000000001</v>
      </c>
      <c r="F72" s="22">
        <v>0</v>
      </c>
      <c r="G72" s="41">
        <v>2026897.3</v>
      </c>
      <c r="H72" s="41">
        <v>0</v>
      </c>
      <c r="I72" s="41">
        <f>G72-H72</f>
        <v>2026897.3</v>
      </c>
      <c r="J72" s="28">
        <f t="shared" si="4"/>
        <v>1</v>
      </c>
      <c r="K72" s="28">
        <f>ROUND(L72/I72/J72,7)</f>
        <v>1</v>
      </c>
      <c r="L72" s="42">
        <v>2026897.3</v>
      </c>
      <c r="M72" s="47">
        <f t="shared" si="13"/>
        <v>0.18035290000000001</v>
      </c>
      <c r="O72" s="4">
        <f t="shared" si="14"/>
        <v>2026897.8088590142</v>
      </c>
    </row>
    <row r="73" spans="1:15" ht="56.25" customHeight="1" x14ac:dyDescent="0.25">
      <c r="A73" s="15" t="s">
        <v>47</v>
      </c>
      <c r="B73" s="37">
        <f t="shared" ref="B73:L73" si="27">B74</f>
        <v>35000</v>
      </c>
      <c r="C73" s="17">
        <v>481.95</v>
      </c>
      <c r="D73" s="53">
        <v>1</v>
      </c>
      <c r="E73" s="18">
        <v>0.65867960000000003</v>
      </c>
      <c r="F73" s="17">
        <f>F74</f>
        <v>12675.81</v>
      </c>
      <c r="G73" s="38">
        <f>G74</f>
        <v>11123447.800000001</v>
      </c>
      <c r="H73" s="38">
        <f>H74</f>
        <v>1150219.8</v>
      </c>
      <c r="I73" s="38">
        <f>I74</f>
        <v>9973228</v>
      </c>
      <c r="J73" s="19">
        <f t="shared" si="4"/>
        <v>0.97106601994860642</v>
      </c>
      <c r="K73" s="19" t="s">
        <v>56</v>
      </c>
      <c r="L73" s="29">
        <f t="shared" si="27"/>
        <v>9684662.8200000003</v>
      </c>
      <c r="M73" s="47">
        <f t="shared" si="13"/>
        <v>0.65867960000000003</v>
      </c>
      <c r="O73" s="4">
        <f t="shared" si="14"/>
        <v>11123447.972700002</v>
      </c>
    </row>
    <row r="74" spans="1:15" ht="15" customHeight="1" x14ac:dyDescent="0.25">
      <c r="A74" s="26" t="s">
        <v>14</v>
      </c>
      <c r="B74" s="27">
        <v>35000</v>
      </c>
      <c r="C74" s="22">
        <v>481.95</v>
      </c>
      <c r="D74" s="53">
        <v>1</v>
      </c>
      <c r="E74" s="23">
        <v>0.65867960000000003</v>
      </c>
      <c r="F74" s="22">
        <v>12675.81</v>
      </c>
      <c r="G74" s="41">
        <f>9973228-12456.01+F74+1150000</f>
        <v>11123447.800000001</v>
      </c>
      <c r="H74" s="41">
        <f>219.8+1150000</f>
        <v>1150219.8</v>
      </c>
      <c r="I74" s="41">
        <f>G74-H74</f>
        <v>9973228</v>
      </c>
      <c r="J74" s="28">
        <f t="shared" si="4"/>
        <v>0.97106601994860642</v>
      </c>
      <c r="K74" s="28">
        <f>ROUND(L74/I74/J74,7)</f>
        <v>1</v>
      </c>
      <c r="L74" s="42">
        <v>9684662.8200000003</v>
      </c>
      <c r="M74" s="47">
        <f t="shared" si="13"/>
        <v>0.65867960000000003</v>
      </c>
      <c r="O74" s="4">
        <f t="shared" si="14"/>
        <v>11123447.972700002</v>
      </c>
    </row>
    <row r="75" spans="1:15" ht="75" hidden="1" customHeight="1" x14ac:dyDescent="0.25">
      <c r="A75" s="15" t="s">
        <v>54</v>
      </c>
      <c r="B75" s="53">
        <f>B76</f>
        <v>7</v>
      </c>
      <c r="C75" s="17">
        <f>C76</f>
        <v>4180660.3870000001</v>
      </c>
      <c r="D75" s="53">
        <v>1</v>
      </c>
      <c r="E75" s="19">
        <v>1.3947086</v>
      </c>
      <c r="F75" s="17">
        <f>F76</f>
        <v>237696.07</v>
      </c>
      <c r="G75" s="17">
        <f>G76</f>
        <v>41053318</v>
      </c>
      <c r="H75" s="17">
        <f>H76</f>
        <v>0</v>
      </c>
      <c r="I75" s="17">
        <f>I76</f>
        <v>41053318</v>
      </c>
      <c r="J75" s="61"/>
      <c r="K75" s="19" t="s">
        <v>56</v>
      </c>
      <c r="L75" s="62"/>
      <c r="M75" s="47">
        <f t="shared" si="13"/>
        <v>1.3947086</v>
      </c>
      <c r="O75" s="4">
        <f t="shared" si="14"/>
        <v>41053317.037997596</v>
      </c>
    </row>
    <row r="76" spans="1:15" hidden="1" x14ac:dyDescent="0.25">
      <c r="A76" s="64" t="s">
        <v>55</v>
      </c>
      <c r="B76" s="65">
        <v>7</v>
      </c>
      <c r="C76" s="22">
        <v>4180660.3870000001</v>
      </c>
      <c r="D76" s="53">
        <v>1</v>
      </c>
      <c r="E76" s="68">
        <v>1.3947086</v>
      </c>
      <c r="F76" s="66">
        <v>237696.07</v>
      </c>
      <c r="G76" s="24">
        <f>40815621.93+F76</f>
        <v>41053318</v>
      </c>
      <c r="H76" s="24">
        <v>0</v>
      </c>
      <c r="I76" s="41">
        <f>G76-H76</f>
        <v>41053318</v>
      </c>
      <c r="J76" s="63"/>
      <c r="K76" s="28" t="e">
        <f>ROUND(L76/I76/J76,7)</f>
        <v>#DIV/0!</v>
      </c>
      <c r="L76" s="63"/>
      <c r="M76" s="47">
        <f t="shared" si="13"/>
        <v>1.3947086</v>
      </c>
      <c r="O76" s="4">
        <f t="shared" si="14"/>
        <v>41053317.037997596</v>
      </c>
    </row>
    <row r="77" spans="1:15" hidden="1" x14ac:dyDescent="0.25">
      <c r="A77" s="44"/>
      <c r="B77" s="44"/>
      <c r="C77" s="43"/>
      <c r="D77" s="43"/>
      <c r="E77" s="43"/>
      <c r="F77" s="43"/>
      <c r="G77" s="43"/>
      <c r="H77" s="55" t="s">
        <v>28</v>
      </c>
      <c r="I77" s="43">
        <f>I9+I24+I31+I37+I44+I53+I56</f>
        <v>67255991.769999996</v>
      </c>
      <c r="J77" s="43"/>
      <c r="K77" s="43"/>
      <c r="L77" s="43">
        <f t="shared" ref="L77" si="28">L9+L24+L31+L37+L44+L53+L56</f>
        <v>63092176.019999996</v>
      </c>
    </row>
    <row r="78" spans="1:15" hidden="1" x14ac:dyDescent="0.25">
      <c r="F78" s="45"/>
      <c r="G78" s="45"/>
      <c r="H78" s="56">
        <v>2</v>
      </c>
      <c r="I78" s="45">
        <f>I10+I16+I22+I25+I32+I38+I45+I50+I60</f>
        <v>43226175.340000004</v>
      </c>
      <c r="J78" s="45"/>
      <c r="K78" s="45"/>
      <c r="L78" s="45">
        <f t="shared" ref="L78" si="29">L10+L16+L22+L25+L32+L38+L45+L50+L60</f>
        <v>42160883.420000002</v>
      </c>
    </row>
    <row r="79" spans="1:15" hidden="1" x14ac:dyDescent="0.25">
      <c r="H79" s="54">
        <v>3</v>
      </c>
      <c r="I79" s="45">
        <f>I11+I26+I35+I39+I46+I51+I54</f>
        <v>61699474.259999998</v>
      </c>
      <c r="J79" s="45"/>
      <c r="K79" s="45"/>
      <c r="L79" s="45">
        <f t="shared" ref="L79" si="30">L11+L26+L35+L39+L46+L51+L54</f>
        <v>55157018.189999998</v>
      </c>
    </row>
    <row r="80" spans="1:15" hidden="1" x14ac:dyDescent="0.25">
      <c r="H80" s="54">
        <v>4</v>
      </c>
      <c r="I80" s="45">
        <f>I12+I17+I27+I40+I48+I62</f>
        <v>32625110.77</v>
      </c>
      <c r="J80" s="45"/>
      <c r="K80" s="45"/>
      <c r="L80" s="45">
        <f t="shared" ref="L80" si="31">L12+L17+L27+L40+L48+L62</f>
        <v>30391412.5</v>
      </c>
    </row>
    <row r="81" spans="2:12" hidden="1" x14ac:dyDescent="0.25">
      <c r="H81" s="54">
        <v>5</v>
      </c>
      <c r="I81" s="45">
        <f>I13+I18+I28+I33+I41+I49</f>
        <v>41751627.719999999</v>
      </c>
      <c r="J81" s="45"/>
      <c r="K81" s="45"/>
      <c r="L81" s="45">
        <f>L13+L18+L28+L33+L41+L49</f>
        <v>41175658.990000002</v>
      </c>
    </row>
    <row r="82" spans="2:12" hidden="1" x14ac:dyDescent="0.25">
      <c r="H82" s="54">
        <v>7</v>
      </c>
      <c r="I82" s="45">
        <f>I14+I19+I29+I34+I42+I58+I61</f>
        <v>36861996.329999998</v>
      </c>
      <c r="J82" s="45"/>
      <c r="K82" s="45"/>
      <c r="L82" s="45">
        <f t="shared" ref="L82" si="32">L14+L19+L29+L34+L42+L58+L61</f>
        <v>35048147.57</v>
      </c>
    </row>
    <row r="83" spans="2:12" hidden="1" x14ac:dyDescent="0.25">
      <c r="H83" s="54" t="s">
        <v>29</v>
      </c>
      <c r="I83" s="45">
        <f>I20</f>
        <v>26401391.66</v>
      </c>
      <c r="J83" s="45"/>
      <c r="K83" s="45"/>
      <c r="L83" s="45">
        <f t="shared" ref="L83" si="33">L20</f>
        <v>24288198.550000001</v>
      </c>
    </row>
    <row r="84" spans="2:12" hidden="1" x14ac:dyDescent="0.25">
      <c r="H84" s="54" t="s">
        <v>30</v>
      </c>
      <c r="I84" s="45">
        <f>I70+I72</f>
        <v>97744943.079999998</v>
      </c>
      <c r="J84" s="45"/>
      <c r="K84" s="45"/>
      <c r="L84" s="45">
        <f>L70+L72</f>
        <v>93189033.829999998</v>
      </c>
    </row>
    <row r="85" spans="2:12" hidden="1" x14ac:dyDescent="0.25">
      <c r="H85" s="54"/>
    </row>
    <row r="86" spans="2:12" hidden="1" x14ac:dyDescent="0.25">
      <c r="H86" s="54"/>
    </row>
    <row r="87" spans="2:12" hidden="1" x14ac:dyDescent="0.25">
      <c r="H87" s="54" t="s">
        <v>48</v>
      </c>
      <c r="I87" s="45">
        <f>I77+I78+I79+I80+I81+I82+I83</f>
        <v>309821767.85000002</v>
      </c>
      <c r="J87" s="45"/>
      <c r="K87" s="45"/>
      <c r="L87" s="45">
        <f>L77+L78+L79+L80+L81+L82+L83</f>
        <v>291313495.24000001</v>
      </c>
    </row>
    <row r="88" spans="2:12" hidden="1" x14ac:dyDescent="0.25"/>
    <row r="89" spans="2:12" hidden="1" x14ac:dyDescent="0.25"/>
    <row r="90" spans="2:12" hidden="1" x14ac:dyDescent="0.25"/>
    <row r="91" spans="2:12" hidden="1" x14ac:dyDescent="0.25">
      <c r="B91" s="51"/>
    </row>
    <row r="92" spans="2:12" hidden="1" x14ac:dyDescent="0.25"/>
    <row r="93" spans="2:12" hidden="1" x14ac:dyDescent="0.25"/>
  </sheetData>
  <autoFilter ref="A7:L84" xr:uid="{78EF0AC3-A859-4FD1-8271-8048F167924B}"/>
  <mergeCells count="3">
    <mergeCell ref="F1:J1"/>
    <mergeCell ref="A2:I2"/>
    <mergeCell ref="C4:F4"/>
  </mergeCells>
  <pageMargins left="0.7" right="0.7" top="0.75" bottom="0.75" header="0.3" footer="0.3"/>
  <pageSetup paperSize="9" scale="55" fitToHeight="0" orientation="landscape" r:id="rId1"/>
  <ignoredErrors>
    <ignoredError sqref="B5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1FB90-F847-4079-B098-0564CA2D9794}">
  <sheetPr>
    <pageSetUpPr fitToPage="1"/>
  </sheetPr>
  <dimension ref="A1:O91"/>
  <sheetViews>
    <sheetView topLeftCell="A58" workbookViewId="0">
      <selection activeCell="J49" sqref="J49"/>
    </sheetView>
  </sheetViews>
  <sheetFormatPr defaultRowHeight="15" x14ac:dyDescent="0.25"/>
  <cols>
    <col min="1" max="1" width="37.42578125" style="4" customWidth="1"/>
    <col min="2" max="2" width="10.7109375" style="4" customWidth="1"/>
    <col min="3" max="3" width="18" style="4" customWidth="1"/>
    <col min="4" max="4" width="15.42578125" style="4" customWidth="1"/>
    <col min="5" max="5" width="14.85546875" style="4" customWidth="1"/>
    <col min="6" max="6" width="16.140625" style="4" customWidth="1"/>
    <col min="7" max="7" width="18" style="4" customWidth="1"/>
    <col min="8" max="8" width="20" style="4" customWidth="1"/>
    <col min="9" max="9" width="16.85546875" style="4" customWidth="1"/>
    <col min="10" max="11" width="19.140625" style="4" customWidth="1"/>
    <col min="12" max="12" width="19.42578125" style="4" customWidth="1"/>
    <col min="13" max="13" width="12.28515625" style="4" hidden="1" customWidth="1"/>
    <col min="14" max="14" width="13.7109375" style="4" hidden="1" customWidth="1"/>
    <col min="15" max="15" width="23" style="4" hidden="1" customWidth="1"/>
    <col min="16" max="19" width="9.140625" style="4" customWidth="1"/>
    <col min="20" max="16384" width="9.140625" style="4"/>
  </cols>
  <sheetData>
    <row r="1" spans="1:15" x14ac:dyDescent="0.25">
      <c r="F1" s="71" t="s">
        <v>3</v>
      </c>
      <c r="G1" s="71"/>
      <c r="H1" s="71"/>
      <c r="I1" s="71"/>
      <c r="J1" s="71"/>
      <c r="K1" s="58"/>
    </row>
    <row r="2" spans="1:15" s="5" customFormat="1" ht="30.75" customHeight="1" x14ac:dyDescent="0.25">
      <c r="A2" s="72" t="s">
        <v>15</v>
      </c>
      <c r="B2" s="72"/>
      <c r="C2" s="72"/>
      <c r="D2" s="72"/>
      <c r="E2" s="72"/>
      <c r="F2" s="72"/>
      <c r="G2" s="72"/>
      <c r="H2" s="72"/>
      <c r="I2" s="72"/>
    </row>
    <row r="3" spans="1:15" s="5" customFormat="1" ht="30.75" customHeight="1" x14ac:dyDescent="0.25">
      <c r="A3" s="6" t="s">
        <v>20</v>
      </c>
      <c r="B3" s="7"/>
      <c r="C3" s="1" t="s">
        <v>27</v>
      </c>
      <c r="D3" s="7"/>
      <c r="E3" s="7"/>
      <c r="F3" s="7"/>
      <c r="G3" s="57"/>
      <c r="H3" s="52"/>
      <c r="I3" s="52"/>
    </row>
    <row r="4" spans="1:15" s="5" customFormat="1" ht="30.75" customHeight="1" x14ac:dyDescent="0.25">
      <c r="A4" s="6"/>
      <c r="B4" s="7"/>
      <c r="C4" s="73" t="s">
        <v>51</v>
      </c>
      <c r="D4" s="73"/>
      <c r="E4" s="73"/>
      <c r="F4" s="73"/>
      <c r="G4" s="57"/>
      <c r="H4" s="52"/>
      <c r="I4" s="52"/>
    </row>
    <row r="5" spans="1:15" s="9" customFormat="1" ht="15.75" x14ac:dyDescent="0.25">
      <c r="C5" s="10"/>
      <c r="D5" s="10"/>
      <c r="E5" s="10"/>
      <c r="F5" s="10"/>
      <c r="G5" s="10"/>
      <c r="H5" s="10"/>
      <c r="I5" s="10"/>
    </row>
    <row r="6" spans="1:15" ht="180.75" customHeight="1" x14ac:dyDescent="0.25">
      <c r="A6" s="11" t="s">
        <v>21</v>
      </c>
      <c r="B6" s="11" t="s">
        <v>22</v>
      </c>
      <c r="C6" s="11" t="s">
        <v>0</v>
      </c>
      <c r="D6" s="11" t="s">
        <v>1</v>
      </c>
      <c r="E6" s="11" t="s">
        <v>2</v>
      </c>
      <c r="F6" s="12" t="s">
        <v>23</v>
      </c>
      <c r="G6" s="11" t="s">
        <v>17</v>
      </c>
      <c r="H6" s="11" t="s">
        <v>24</v>
      </c>
      <c r="I6" s="11" t="s">
        <v>25</v>
      </c>
      <c r="J6" s="11" t="s">
        <v>16</v>
      </c>
      <c r="K6" s="11" t="s">
        <v>49</v>
      </c>
      <c r="L6" s="11" t="s">
        <v>18</v>
      </c>
      <c r="N6" s="6"/>
    </row>
    <row r="7" spans="1:15" s="9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3" t="s">
        <v>52</v>
      </c>
      <c r="H7" s="13">
        <v>8</v>
      </c>
      <c r="I7" s="13" t="s">
        <v>53</v>
      </c>
      <c r="J7" s="13">
        <v>10</v>
      </c>
      <c r="K7" s="13">
        <v>11</v>
      </c>
      <c r="L7" s="14">
        <v>12</v>
      </c>
    </row>
    <row r="8" spans="1:15" ht="42.75" x14ac:dyDescent="0.25">
      <c r="A8" s="15" t="s">
        <v>31</v>
      </c>
      <c r="B8" s="16">
        <v>528004</v>
      </c>
      <c r="C8" s="17">
        <v>144.06200000000001</v>
      </c>
      <c r="D8" s="53">
        <v>1</v>
      </c>
      <c r="E8" s="50">
        <v>0.98280129999999999</v>
      </c>
      <c r="F8" s="17">
        <f>F9+F10+F11+F12+F13+F14</f>
        <v>0</v>
      </c>
      <c r="G8" s="17">
        <f>SUM(G9:G14)</f>
        <v>74757085.200000003</v>
      </c>
      <c r="H8" s="17">
        <f>SUM(H9:H14)</f>
        <v>0</v>
      </c>
      <c r="I8" s="17">
        <f>SUM(I9:I14)</f>
        <v>74757085.200000003</v>
      </c>
      <c r="J8" s="19">
        <f>L8/I8</f>
        <v>0.99519262690568355</v>
      </c>
      <c r="K8" s="19" t="s">
        <v>56</v>
      </c>
      <c r="L8" s="17">
        <v>74397700</v>
      </c>
      <c r="M8" s="47">
        <f t="shared" ref="M8:M39" si="0">ROUND((G8-F8)/(B8*C8),7)</f>
        <v>0.98280129999999999</v>
      </c>
      <c r="O8" s="4">
        <f t="shared" ref="O8:O39" si="1">(B8*C8*D8*E8)+F8</f>
        <v>74757087.762240335</v>
      </c>
    </row>
    <row r="9" spans="1:15" x14ac:dyDescent="0.25">
      <c r="A9" s="20" t="s">
        <v>4</v>
      </c>
      <c r="B9" s="21">
        <v>27066</v>
      </c>
      <c r="C9" s="22">
        <v>144.06200000000001</v>
      </c>
      <c r="D9" s="53">
        <v>1</v>
      </c>
      <c r="E9" s="23">
        <v>1.6500903</v>
      </c>
      <c r="F9" s="24">
        <v>0</v>
      </c>
      <c r="G9" s="22">
        <v>6434002.4000000004</v>
      </c>
      <c r="H9" s="22">
        <v>0</v>
      </c>
      <c r="I9" s="22">
        <f>G9-H9</f>
        <v>6434002.4000000004</v>
      </c>
      <c r="J9" s="28">
        <v>0.99519262690568355</v>
      </c>
      <c r="K9" s="28">
        <f t="shared" ref="K9:K14" si="2">ROUND(L9/I9/J9,7)</f>
        <v>0.99952030000000003</v>
      </c>
      <c r="L9" s="24">
        <v>6400000</v>
      </c>
      <c r="M9" s="47">
        <f t="shared" si="0"/>
        <v>1.6500903</v>
      </c>
      <c r="N9" s="25"/>
      <c r="O9" s="4">
        <f t="shared" si="1"/>
        <v>6434002.5479429075</v>
      </c>
    </row>
    <row r="10" spans="1:15" x14ac:dyDescent="0.25">
      <c r="A10" s="26" t="s">
        <v>5</v>
      </c>
      <c r="B10" s="27">
        <v>145905</v>
      </c>
      <c r="C10" s="22">
        <v>144.06200000000001</v>
      </c>
      <c r="D10" s="53">
        <v>1</v>
      </c>
      <c r="E10" s="23">
        <v>0.73417960000000004</v>
      </c>
      <c r="F10" s="24">
        <v>0</v>
      </c>
      <c r="G10" s="22">
        <v>15431988.800000001</v>
      </c>
      <c r="H10" s="22">
        <v>0</v>
      </c>
      <c r="I10" s="22">
        <f>G10-H10</f>
        <v>15431988.800000001</v>
      </c>
      <c r="J10" s="28">
        <v>0.99519262690568355</v>
      </c>
      <c r="K10" s="28">
        <f t="shared" si="2"/>
        <v>1.0013802999999999</v>
      </c>
      <c r="L10" s="24">
        <v>15379000</v>
      </c>
      <c r="M10" s="47">
        <f t="shared" si="0"/>
        <v>0.73417960000000004</v>
      </c>
      <c r="N10" s="25"/>
      <c r="O10" s="4">
        <f t="shared" si="1"/>
        <v>15431989.802893359</v>
      </c>
    </row>
    <row r="11" spans="1:15" ht="26.25" x14ac:dyDescent="0.25">
      <c r="A11" s="26" t="s">
        <v>6</v>
      </c>
      <c r="B11" s="46">
        <v>71300</v>
      </c>
      <c r="C11" s="22">
        <v>144.06200000000001</v>
      </c>
      <c r="D11" s="53">
        <v>1</v>
      </c>
      <c r="E11" s="23">
        <v>1.9395798</v>
      </c>
      <c r="F11" s="24">
        <v>0</v>
      </c>
      <c r="G11" s="22">
        <v>19922628</v>
      </c>
      <c r="H11" s="22">
        <v>0</v>
      </c>
      <c r="I11" s="22">
        <f>G11-H11</f>
        <v>19922628</v>
      </c>
      <c r="J11" s="28">
        <v>0.99519262690568355</v>
      </c>
      <c r="K11" s="28">
        <f t="shared" si="2"/>
        <v>0.99698120000000001</v>
      </c>
      <c r="L11" s="24">
        <v>19767000</v>
      </c>
      <c r="M11" s="47">
        <f t="shared" si="0"/>
        <v>1.9395798</v>
      </c>
      <c r="N11" s="25"/>
      <c r="O11" s="4">
        <f t="shared" si="1"/>
        <v>19922627.829023883</v>
      </c>
    </row>
    <row r="12" spans="1:15" x14ac:dyDescent="0.25">
      <c r="A12" s="20" t="s">
        <v>7</v>
      </c>
      <c r="B12" s="21">
        <v>84760</v>
      </c>
      <c r="C12" s="22">
        <v>144.06200000000001</v>
      </c>
      <c r="D12" s="53">
        <v>1</v>
      </c>
      <c r="E12" s="23">
        <v>0.70810569999999995</v>
      </c>
      <c r="F12" s="24">
        <v>0</v>
      </c>
      <c r="G12" s="22">
        <v>8646463.1999999993</v>
      </c>
      <c r="H12" s="22">
        <v>0</v>
      </c>
      <c r="I12" s="22">
        <f t="shared" ref="I12:I14" si="3">G12-H12</f>
        <v>8646463.1999999993</v>
      </c>
      <c r="J12" s="28">
        <v>0.99519262690568355</v>
      </c>
      <c r="K12" s="28">
        <f t="shared" si="2"/>
        <v>0.9998726</v>
      </c>
      <c r="L12" s="24">
        <v>8603800</v>
      </c>
      <c r="M12" s="47">
        <f t="shared" si="0"/>
        <v>0.70810569999999995</v>
      </c>
      <c r="N12" s="25"/>
      <c r="O12" s="4">
        <f t="shared" si="1"/>
        <v>8646462.8154341839</v>
      </c>
    </row>
    <row r="13" spans="1:15" x14ac:dyDescent="0.25">
      <c r="A13" s="20" t="s">
        <v>8</v>
      </c>
      <c r="B13" s="48">
        <v>88226</v>
      </c>
      <c r="C13" s="22">
        <v>144.06200000000001</v>
      </c>
      <c r="D13" s="53">
        <v>1</v>
      </c>
      <c r="E13" s="23">
        <v>1.1156154</v>
      </c>
      <c r="F13" s="24">
        <v>0</v>
      </c>
      <c r="G13" s="22">
        <v>14179486.800000001</v>
      </c>
      <c r="H13" s="22">
        <v>0</v>
      </c>
      <c r="I13" s="22">
        <f t="shared" si="3"/>
        <v>14179486.800000001</v>
      </c>
      <c r="J13" s="28">
        <v>0.99519262690568355</v>
      </c>
      <c r="K13" s="28">
        <f t="shared" si="2"/>
        <v>1.0026630999999999</v>
      </c>
      <c r="L13" s="24">
        <v>14148900</v>
      </c>
      <c r="M13" s="47">
        <f t="shared" si="0"/>
        <v>1.1156154</v>
      </c>
      <c r="N13" s="25"/>
      <c r="O13" s="4">
        <f t="shared" si="1"/>
        <v>14179487.366002988</v>
      </c>
    </row>
    <row r="14" spans="1:15" x14ac:dyDescent="0.25">
      <c r="A14" s="20" t="s">
        <v>9</v>
      </c>
      <c r="B14" s="21">
        <v>110747</v>
      </c>
      <c r="C14" s="22">
        <v>144.06200000000001</v>
      </c>
      <c r="D14" s="53">
        <v>1</v>
      </c>
      <c r="E14" s="23">
        <v>0.63571770000000005</v>
      </c>
      <c r="F14" s="24">
        <v>0</v>
      </c>
      <c r="G14" s="22">
        <v>10142516</v>
      </c>
      <c r="H14" s="22">
        <v>0</v>
      </c>
      <c r="I14" s="22">
        <f t="shared" si="3"/>
        <v>10142516</v>
      </c>
      <c r="J14" s="28">
        <v>0.99519262690568355</v>
      </c>
      <c r="K14" s="28">
        <f t="shared" si="2"/>
        <v>1.0005193999999999</v>
      </c>
      <c r="L14" s="24">
        <v>10099000</v>
      </c>
      <c r="M14" s="47">
        <f t="shared" si="0"/>
        <v>0.63571770000000005</v>
      </c>
      <c r="O14" s="4">
        <f t="shared" si="1"/>
        <v>10142516.28689716</v>
      </c>
    </row>
    <row r="15" spans="1:15" ht="57" x14ac:dyDescent="0.25">
      <c r="A15" s="15" t="s">
        <v>32</v>
      </c>
      <c r="B15" s="16">
        <v>586888</v>
      </c>
      <c r="C15" s="17">
        <v>182.72920000000002</v>
      </c>
      <c r="D15" s="53">
        <v>1</v>
      </c>
      <c r="E15" s="18">
        <v>0.52400139999999995</v>
      </c>
      <c r="F15" s="17">
        <f>F16+F17+F18+F19+F20</f>
        <v>53969.51</v>
      </c>
      <c r="G15" s="17">
        <f>SUM(G16:G20)</f>
        <v>56248699.719999999</v>
      </c>
      <c r="H15" s="17">
        <f>SUM(H16:H20)</f>
        <v>5836.8</v>
      </c>
      <c r="I15" s="17">
        <f>SUM(I16:I20)</f>
        <v>56242862.920000002</v>
      </c>
      <c r="J15" s="19">
        <f t="shared" ref="J15:J75" si="4">L15/I15</f>
        <v>0.9398911044978504</v>
      </c>
      <c r="K15" s="19" t="s">
        <v>56</v>
      </c>
      <c r="L15" s="17">
        <v>52862166.549999997</v>
      </c>
      <c r="M15" s="47">
        <f t="shared" si="0"/>
        <v>0.52400139999999995</v>
      </c>
      <c r="O15" s="4">
        <f t="shared" si="1"/>
        <v>56248704.806515023</v>
      </c>
    </row>
    <row r="16" spans="1:15" x14ac:dyDescent="0.25">
      <c r="A16" s="26" t="s">
        <v>5</v>
      </c>
      <c r="B16" s="21">
        <v>6653</v>
      </c>
      <c r="C16" s="22">
        <v>182.72920000000002</v>
      </c>
      <c r="D16" s="53">
        <v>1</v>
      </c>
      <c r="E16" s="23">
        <v>0.60398079999999998</v>
      </c>
      <c r="F16" s="22"/>
      <c r="G16" s="22">
        <v>734257.92</v>
      </c>
      <c r="H16" s="22"/>
      <c r="I16" s="22">
        <f>G16-H16</f>
        <v>734257.92</v>
      </c>
      <c r="J16" s="28">
        <v>0.9398911044978504</v>
      </c>
      <c r="K16" s="28">
        <f>ROUND(L16/I16/J16,7)</f>
        <v>1.0397835</v>
      </c>
      <c r="L16" s="24">
        <v>717578</v>
      </c>
      <c r="M16" s="47">
        <f t="shared" si="0"/>
        <v>0.60398079999999998</v>
      </c>
      <c r="O16" s="4">
        <f t="shared" si="1"/>
        <v>734257.86864094215</v>
      </c>
    </row>
    <row r="17" spans="1:15" x14ac:dyDescent="0.25">
      <c r="A17" s="20" t="s">
        <v>7</v>
      </c>
      <c r="B17" s="21">
        <v>84020</v>
      </c>
      <c r="C17" s="22">
        <v>182.72920000000002</v>
      </c>
      <c r="D17" s="53">
        <v>1</v>
      </c>
      <c r="E17" s="23">
        <v>0.54374769999999994</v>
      </c>
      <c r="F17" s="22"/>
      <c r="G17" s="22">
        <v>8348108</v>
      </c>
      <c r="H17" s="22"/>
      <c r="I17" s="22">
        <f>G17-H17</f>
        <v>8348108</v>
      </c>
      <c r="J17" s="28">
        <v>0.9398911044978504</v>
      </c>
      <c r="K17" s="28">
        <f>ROUND(L17/I17/J17,7)</f>
        <v>0.98627480000000001</v>
      </c>
      <c r="L17" s="24">
        <v>7738620</v>
      </c>
      <c r="M17" s="47">
        <f t="shared" si="0"/>
        <v>0.54374769999999994</v>
      </c>
      <c r="O17" s="4">
        <f t="shared" si="1"/>
        <v>8348108.0783630172</v>
      </c>
    </row>
    <row r="18" spans="1:15" x14ac:dyDescent="0.25">
      <c r="A18" s="20" t="s">
        <v>8</v>
      </c>
      <c r="B18" s="21">
        <v>86230</v>
      </c>
      <c r="C18" s="22">
        <v>182.72920000000002</v>
      </c>
      <c r="D18" s="53">
        <v>1</v>
      </c>
      <c r="E18" s="23">
        <v>0.89988809999999997</v>
      </c>
      <c r="F18" s="22"/>
      <c r="G18" s="22">
        <v>14179301.6</v>
      </c>
      <c r="H18" s="22"/>
      <c r="I18" s="22">
        <f>G18-H18</f>
        <v>14179301.6</v>
      </c>
      <c r="J18" s="28">
        <v>0.9398911044978504</v>
      </c>
      <c r="K18" s="28">
        <f>ROUND(L18/I18/J18,7)</f>
        <v>1.0516650999999999</v>
      </c>
      <c r="L18" s="24">
        <v>14015540</v>
      </c>
      <c r="M18" s="47">
        <f t="shared" si="0"/>
        <v>0.89988809999999997</v>
      </c>
      <c r="O18" s="4">
        <f t="shared" si="1"/>
        <v>14179301.8453153</v>
      </c>
    </row>
    <row r="19" spans="1:15" x14ac:dyDescent="0.25">
      <c r="A19" s="20" t="s">
        <v>9</v>
      </c>
      <c r="B19" s="21">
        <v>69150</v>
      </c>
      <c r="C19" s="22">
        <v>182.72920000000002</v>
      </c>
      <c r="D19" s="53">
        <v>1</v>
      </c>
      <c r="E19" s="23">
        <v>0.50837120000000002</v>
      </c>
      <c r="F19" s="22"/>
      <c r="G19" s="22">
        <v>6423638.4000000004</v>
      </c>
      <c r="H19" s="22"/>
      <c r="I19" s="22">
        <f>G19-H19</f>
        <v>6423638.4000000004</v>
      </c>
      <c r="J19" s="28">
        <v>0.9398911044978504</v>
      </c>
      <c r="K19" s="28">
        <f>ROUND(L19/I19/J19,7)</f>
        <v>1.0107178999999999</v>
      </c>
      <c r="L19" s="24">
        <v>6102230</v>
      </c>
      <c r="M19" s="47">
        <f t="shared" si="0"/>
        <v>0.50837120000000002</v>
      </c>
      <c r="O19" s="4">
        <f t="shared" si="1"/>
        <v>6423638.2642556168</v>
      </c>
    </row>
    <row r="20" spans="1:15" x14ac:dyDescent="0.25">
      <c r="A20" s="20" t="s">
        <v>10</v>
      </c>
      <c r="B20" s="21">
        <v>340835</v>
      </c>
      <c r="C20" s="22">
        <v>182.72920000000002</v>
      </c>
      <c r="D20" s="53">
        <v>1</v>
      </c>
      <c r="E20" s="23">
        <v>0.42564560000000001</v>
      </c>
      <c r="F20" s="22">
        <f>' Приложение № 1 2025г'!F20</f>
        <v>53969.51</v>
      </c>
      <c r="G20" s="22">
        <f>26557557-48132.71+F20</f>
        <v>26563393.800000001</v>
      </c>
      <c r="H20" s="22">
        <f>' Приложение № 1 2025г'!H20</f>
        <v>5836.8</v>
      </c>
      <c r="I20" s="22">
        <f>G20-H20</f>
        <v>26557557</v>
      </c>
      <c r="J20" s="28">
        <v>0.9398911044978504</v>
      </c>
      <c r="K20" s="28">
        <f>ROUND(L20/I20/J20,7)</f>
        <v>0.97303759999999995</v>
      </c>
      <c r="L20" s="24">
        <v>24288198.550000001</v>
      </c>
      <c r="M20" s="47">
        <f t="shared" si="0"/>
        <v>0.42564560000000001</v>
      </c>
      <c r="N20" s="25"/>
      <c r="O20" s="4">
        <f t="shared" si="1"/>
        <v>26563393.230093025</v>
      </c>
    </row>
    <row r="21" spans="1:15" ht="72" customHeight="1" x14ac:dyDescent="0.25">
      <c r="A21" s="15" t="s">
        <v>33</v>
      </c>
      <c r="B21" s="16">
        <v>33348</v>
      </c>
      <c r="C21" s="17">
        <v>182.72920000000002</v>
      </c>
      <c r="D21" s="53">
        <v>1</v>
      </c>
      <c r="E21" s="30">
        <v>0.6028348</v>
      </c>
      <c r="F21" s="29">
        <f>F22</f>
        <v>0</v>
      </c>
      <c r="G21" s="29">
        <f t="shared" ref="G21:I21" si="5">G22</f>
        <v>3673466.4</v>
      </c>
      <c r="H21" s="29">
        <f t="shared" si="5"/>
        <v>0</v>
      </c>
      <c r="I21" s="29">
        <f t="shared" si="5"/>
        <v>3673466.4</v>
      </c>
      <c r="J21" s="19">
        <f>L21/I21</f>
        <v>0.97728946152876206</v>
      </c>
      <c r="K21" s="19" t="s">
        <v>56</v>
      </c>
      <c r="L21" s="29">
        <v>3590040</v>
      </c>
      <c r="M21" s="47">
        <f t="shared" si="0"/>
        <v>0.6028348</v>
      </c>
      <c r="O21" s="4">
        <f t="shared" si="1"/>
        <v>3673466.3055094639</v>
      </c>
    </row>
    <row r="22" spans="1:15" x14ac:dyDescent="0.25">
      <c r="A22" s="26" t="s">
        <v>5</v>
      </c>
      <c r="B22" s="21">
        <v>33348</v>
      </c>
      <c r="C22" s="22">
        <v>182.72920000000002</v>
      </c>
      <c r="D22" s="53">
        <v>1</v>
      </c>
      <c r="E22" s="23">
        <v>0.6028348</v>
      </c>
      <c r="F22" s="22"/>
      <c r="G22" s="22">
        <v>3673466.4</v>
      </c>
      <c r="H22" s="22">
        <v>0</v>
      </c>
      <c r="I22" s="22">
        <f>G22-H22</f>
        <v>3673466.4</v>
      </c>
      <c r="J22" s="28">
        <v>0.97728946152876206</v>
      </c>
      <c r="K22" s="28">
        <f>ROUND(L22/I22/J22,7)</f>
        <v>1</v>
      </c>
      <c r="L22" s="24">
        <v>3590040</v>
      </c>
      <c r="M22" s="47">
        <f t="shared" si="0"/>
        <v>0.6028348</v>
      </c>
      <c r="O22" s="4">
        <f t="shared" si="1"/>
        <v>3673466.3055094639</v>
      </c>
    </row>
    <row r="23" spans="1:15" ht="57" x14ac:dyDescent="0.25">
      <c r="A23" s="15" t="s">
        <v>34</v>
      </c>
      <c r="B23" s="16">
        <v>227053</v>
      </c>
      <c r="C23" s="17">
        <v>182.72920000000002</v>
      </c>
      <c r="D23" s="53">
        <v>1</v>
      </c>
      <c r="E23" s="18">
        <v>1.8354798000000001</v>
      </c>
      <c r="F23" s="17">
        <f>F24+F25+F26+F27+F28+F29</f>
        <v>840864.10000000009</v>
      </c>
      <c r="G23" s="17">
        <f>SUM(G24:G29)</f>
        <v>76993476.409999996</v>
      </c>
      <c r="H23" s="17">
        <f>SUM(H24:H29)</f>
        <v>14524.73</v>
      </c>
      <c r="I23" s="17">
        <f>I24+I25+I26+I27+I28+I29</f>
        <v>76978951.679999992</v>
      </c>
      <c r="J23" s="19">
        <f t="shared" si="4"/>
        <v>0.87838454816951861</v>
      </c>
      <c r="K23" s="19" t="s">
        <v>56</v>
      </c>
      <c r="L23" s="31">
        <v>67617121.689999998</v>
      </c>
      <c r="M23" s="47">
        <f t="shared" si="0"/>
        <v>1.8354798000000001</v>
      </c>
      <c r="O23" s="4">
        <f t="shared" si="1"/>
        <v>76993476.566766232</v>
      </c>
    </row>
    <row r="24" spans="1:15" x14ac:dyDescent="0.25">
      <c r="A24" s="20" t="s">
        <v>4</v>
      </c>
      <c r="B24" s="21">
        <v>85995</v>
      </c>
      <c r="C24" s="22">
        <v>182.72920000000002</v>
      </c>
      <c r="D24" s="53">
        <v>1</v>
      </c>
      <c r="E24" s="23">
        <v>1.8358182000000001</v>
      </c>
      <c r="F24" s="22">
        <v>94450.13</v>
      </c>
      <c r="G24" s="22">
        <f>28939903.66-92227.72+F24</f>
        <v>28942126.07</v>
      </c>
      <c r="H24" s="22">
        <f>' Приложение № 1 2025г'!H24</f>
        <v>2222.41</v>
      </c>
      <c r="I24" s="22">
        <f>G24-H24</f>
        <v>28939903.66</v>
      </c>
      <c r="J24" s="28">
        <v>0.87838454816951861</v>
      </c>
      <c r="K24" s="28">
        <f t="shared" ref="K24:K29" si="6">ROUND(L24/I24/J24,7)</f>
        <v>1.0505253999999999</v>
      </c>
      <c r="L24" s="32">
        <v>26704737.02</v>
      </c>
      <c r="M24" s="47">
        <f t="shared" si="0"/>
        <v>1.8358182000000001</v>
      </c>
      <c r="N24" s="33"/>
      <c r="O24" s="4">
        <f t="shared" si="1"/>
        <v>28942125.670748685</v>
      </c>
    </row>
    <row r="25" spans="1:15" x14ac:dyDescent="0.25">
      <c r="A25" s="26" t="s">
        <v>5</v>
      </c>
      <c r="B25" s="21">
        <v>23046</v>
      </c>
      <c r="C25" s="22">
        <v>182.72920000000002</v>
      </c>
      <c r="D25" s="53">
        <v>1</v>
      </c>
      <c r="E25" s="23">
        <v>2.0723007</v>
      </c>
      <c r="F25" s="22">
        <v>91757.32</v>
      </c>
      <c r="G25" s="22">
        <f>8816802.48-89977.23+F25</f>
        <v>8818582.5700000003</v>
      </c>
      <c r="H25" s="22">
        <f>' Приложение № 1 2025г'!H25</f>
        <v>1780.09</v>
      </c>
      <c r="I25" s="22">
        <f t="shared" ref="I25:I29" si="7">G25-H25</f>
        <v>8816802.4800000004</v>
      </c>
      <c r="J25" s="28">
        <v>0.87838454816951861</v>
      </c>
      <c r="K25" s="28">
        <f t="shared" si="6"/>
        <v>1.0476456999999999</v>
      </c>
      <c r="L25" s="32">
        <v>8113537.4199999999</v>
      </c>
      <c r="M25" s="47">
        <f t="shared" si="0"/>
        <v>2.0723007</v>
      </c>
      <c r="N25" s="33"/>
      <c r="O25" s="4">
        <f t="shared" si="1"/>
        <v>8818582.6616773624</v>
      </c>
    </row>
    <row r="26" spans="1:15" ht="26.25" x14ac:dyDescent="0.25">
      <c r="A26" s="26" t="s">
        <v>6</v>
      </c>
      <c r="B26" s="21">
        <v>37500</v>
      </c>
      <c r="C26" s="22">
        <v>182.72920000000002</v>
      </c>
      <c r="D26" s="53">
        <v>1</v>
      </c>
      <c r="E26" s="23">
        <v>2.8616565</v>
      </c>
      <c r="F26" s="22">
        <v>519929.88</v>
      </c>
      <c r="G26" s="22">
        <f>20120393.36-511335.44+F26</f>
        <v>20128987.799999997</v>
      </c>
      <c r="H26" s="22">
        <f>' Приложение № 1 2025г'!H26</f>
        <v>8594.44</v>
      </c>
      <c r="I26" s="22">
        <f t="shared" si="7"/>
        <v>20120393.359999996</v>
      </c>
      <c r="J26" s="28">
        <v>0.87838454816951861</v>
      </c>
      <c r="K26" s="28">
        <f t="shared" si="6"/>
        <v>0.89943810000000002</v>
      </c>
      <c r="L26" s="32">
        <v>15896168.189999999</v>
      </c>
      <c r="M26" s="47">
        <f t="shared" si="0"/>
        <v>2.8616565</v>
      </c>
      <c r="N26" s="33"/>
      <c r="O26" s="4">
        <f t="shared" si="1"/>
        <v>20128987.489492502</v>
      </c>
    </row>
    <row r="27" spans="1:15" x14ac:dyDescent="0.25">
      <c r="A27" s="20" t="s">
        <v>7</v>
      </c>
      <c r="B27" s="21">
        <v>21146</v>
      </c>
      <c r="C27" s="22">
        <v>182.72920000000002</v>
      </c>
      <c r="D27" s="53">
        <v>1</v>
      </c>
      <c r="E27" s="23">
        <v>1.2985633000000001</v>
      </c>
      <c r="F27" s="22">
        <v>28785.22</v>
      </c>
      <c r="G27" s="22">
        <f>5046161.16-28523.56+F27</f>
        <v>5046422.82</v>
      </c>
      <c r="H27" s="22">
        <f>' Приложение № 1 2025г'!H27</f>
        <v>261.66000000000003</v>
      </c>
      <c r="I27" s="22">
        <f t="shared" si="7"/>
        <v>5046161.16</v>
      </c>
      <c r="J27" s="28">
        <v>0.87838454816951861</v>
      </c>
      <c r="K27" s="28">
        <f t="shared" si="6"/>
        <v>0.9249927</v>
      </c>
      <c r="L27" s="32">
        <v>4100002.5</v>
      </c>
      <c r="M27" s="47">
        <f t="shared" si="0"/>
        <v>1.2985633000000001</v>
      </c>
      <c r="N27" s="33"/>
      <c r="O27" s="4">
        <f t="shared" si="1"/>
        <v>5046422.9853374809</v>
      </c>
    </row>
    <row r="28" spans="1:15" x14ac:dyDescent="0.25">
      <c r="A28" s="20" t="s">
        <v>8</v>
      </c>
      <c r="B28" s="21">
        <v>32577</v>
      </c>
      <c r="C28" s="22">
        <v>182.72920000000002</v>
      </c>
      <c r="D28" s="53">
        <v>1</v>
      </c>
      <c r="E28" s="23">
        <v>1.4176814</v>
      </c>
      <c r="F28" s="22">
        <v>53725.63</v>
      </c>
      <c r="G28" s="22">
        <f>8492784.24-53654.17+F28</f>
        <v>8492855.7000000011</v>
      </c>
      <c r="H28" s="22">
        <f>' Приложение № 1 2025г'!H28</f>
        <v>71.459999999999994</v>
      </c>
      <c r="I28" s="22">
        <f t="shared" si="7"/>
        <v>8492784.2400000002</v>
      </c>
      <c r="J28" s="28">
        <v>0.87838454816951861</v>
      </c>
      <c r="K28" s="28">
        <f t="shared" si="6"/>
        <v>1.0840623</v>
      </c>
      <c r="L28" s="32">
        <v>8087028.9900000002</v>
      </c>
      <c r="M28" s="47">
        <f t="shared" si="0"/>
        <v>1.4176814</v>
      </c>
      <c r="N28" s="33"/>
      <c r="O28" s="4">
        <f t="shared" si="1"/>
        <v>8492855.7301805206</v>
      </c>
    </row>
    <row r="29" spans="1:15" x14ac:dyDescent="0.25">
      <c r="A29" s="34" t="s">
        <v>9</v>
      </c>
      <c r="B29" s="21">
        <v>26789</v>
      </c>
      <c r="C29" s="22">
        <v>182.72920000000002</v>
      </c>
      <c r="D29" s="53">
        <v>1</v>
      </c>
      <c r="E29" s="23">
        <v>1.1260748</v>
      </c>
      <c r="F29" s="22">
        <v>52215.92</v>
      </c>
      <c r="G29" s="22">
        <f>5562906.78-50621.25+F29</f>
        <v>5564501.4500000002</v>
      </c>
      <c r="H29" s="22">
        <f>' Приложение № 1 2025г'!H29</f>
        <v>1594.67</v>
      </c>
      <c r="I29" s="22">
        <f t="shared" si="7"/>
        <v>5562906.7800000003</v>
      </c>
      <c r="J29" s="28">
        <v>0.87838454816951861</v>
      </c>
      <c r="K29" s="28">
        <f t="shared" si="6"/>
        <v>0.96506119999999995</v>
      </c>
      <c r="L29" s="32">
        <v>4715647.57</v>
      </c>
      <c r="M29" s="47">
        <f t="shared" si="0"/>
        <v>1.1260748</v>
      </c>
      <c r="N29" s="33"/>
      <c r="O29" s="4">
        <f t="shared" si="1"/>
        <v>5564501.3146027029</v>
      </c>
    </row>
    <row r="30" spans="1:15" ht="71.25" x14ac:dyDescent="0.25">
      <c r="A30" s="15" t="s">
        <v>35</v>
      </c>
      <c r="B30" s="16">
        <v>42112</v>
      </c>
      <c r="C30" s="17">
        <v>182.72920000000002</v>
      </c>
      <c r="D30" s="53">
        <v>1</v>
      </c>
      <c r="E30" s="18">
        <v>1.0843514000000001</v>
      </c>
      <c r="F30" s="17">
        <f>F31+F32+F33+F34+F35</f>
        <v>0</v>
      </c>
      <c r="G30" s="17">
        <f>SUM(G31:G35)</f>
        <v>8344183.5999999996</v>
      </c>
      <c r="H30" s="17">
        <f>SUM(H31:H35)</f>
        <v>0</v>
      </c>
      <c r="I30" s="17">
        <f>SUM(I31:I35)</f>
        <v>8344183.5999999996</v>
      </c>
      <c r="J30" s="19">
        <f t="shared" si="4"/>
        <v>0.93904932772572269</v>
      </c>
      <c r="K30" s="19" t="s">
        <v>56</v>
      </c>
      <c r="L30" s="17">
        <v>7835600</v>
      </c>
      <c r="M30" s="47">
        <f t="shared" si="0"/>
        <v>1.0843514000000001</v>
      </c>
      <c r="O30" s="4">
        <f t="shared" si="1"/>
        <v>8344183.8596671401</v>
      </c>
    </row>
    <row r="31" spans="1:15" x14ac:dyDescent="0.25">
      <c r="A31" s="20" t="s">
        <v>4</v>
      </c>
      <c r="B31" s="21">
        <v>16590</v>
      </c>
      <c r="C31" s="22">
        <v>182.72920000000002</v>
      </c>
      <c r="D31" s="53">
        <v>1</v>
      </c>
      <c r="E31" s="23">
        <v>1.3505849999999999</v>
      </c>
      <c r="F31" s="22">
        <v>0</v>
      </c>
      <c r="G31" s="22">
        <v>4094268</v>
      </c>
      <c r="H31" s="22">
        <v>0</v>
      </c>
      <c r="I31" s="22">
        <f t="shared" ref="I31:I35" si="8">G31-H31</f>
        <v>4094268</v>
      </c>
      <c r="J31" s="28">
        <v>0.93904932772572269</v>
      </c>
      <c r="K31" s="28">
        <f>ROUND(L31/I31/J31,7)</f>
        <v>0.99285520000000005</v>
      </c>
      <c r="L31" s="24">
        <v>3817250</v>
      </c>
      <c r="M31" s="47">
        <f t="shared" si="0"/>
        <v>1.3505849999999999</v>
      </c>
      <c r="O31" s="4">
        <f t="shared" si="1"/>
        <v>4094267.9420953803</v>
      </c>
    </row>
    <row r="32" spans="1:15" x14ac:dyDescent="0.25">
      <c r="A32" s="26" t="s">
        <v>5</v>
      </c>
      <c r="B32" s="21">
        <v>10839</v>
      </c>
      <c r="C32" s="22">
        <v>182.72920000000002</v>
      </c>
      <c r="D32" s="53">
        <v>1</v>
      </c>
      <c r="E32" s="23">
        <v>0.55632459999999995</v>
      </c>
      <c r="F32" s="22">
        <v>0</v>
      </c>
      <c r="G32" s="22">
        <v>1101857.6000000001</v>
      </c>
      <c r="H32" s="22">
        <v>0</v>
      </c>
      <c r="I32" s="22">
        <f t="shared" si="8"/>
        <v>1101857.6000000001</v>
      </c>
      <c r="J32" s="28">
        <v>0.93904932772572269</v>
      </c>
      <c r="K32" s="28">
        <f>ROUND(L32/I32/J32,7)</f>
        <v>1.0407185000000001</v>
      </c>
      <c r="L32" s="24">
        <v>1076830</v>
      </c>
      <c r="M32" s="47">
        <f t="shared" si="0"/>
        <v>0.55632459999999995</v>
      </c>
      <c r="O32" s="4">
        <f t="shared" si="1"/>
        <v>1101857.5034766905</v>
      </c>
    </row>
    <row r="33" spans="1:15" x14ac:dyDescent="0.25">
      <c r="A33" s="20" t="s">
        <v>8</v>
      </c>
      <c r="B33" s="21">
        <v>8883</v>
      </c>
      <c r="C33" s="22">
        <v>182.72920000000002</v>
      </c>
      <c r="D33" s="53">
        <v>1</v>
      </c>
      <c r="E33" s="49">
        <v>0.94431960000000004</v>
      </c>
      <c r="F33" s="22">
        <v>0</v>
      </c>
      <c r="G33" s="22">
        <v>1532804</v>
      </c>
      <c r="H33" s="22">
        <v>0</v>
      </c>
      <c r="I33" s="22">
        <f t="shared" si="8"/>
        <v>1532804</v>
      </c>
      <c r="J33" s="28">
        <v>0.93904932772572269</v>
      </c>
      <c r="K33" s="28">
        <f>ROUND(L33/I33/J33,7)</f>
        <v>1.0526070000000001</v>
      </c>
      <c r="L33" s="24">
        <v>1515100</v>
      </c>
      <c r="M33" s="47">
        <f t="shared" si="0"/>
        <v>0.94431960000000004</v>
      </c>
      <c r="O33" s="4">
        <f t="shared" si="1"/>
        <v>1532803.9779597588</v>
      </c>
    </row>
    <row r="34" spans="1:15" x14ac:dyDescent="0.25">
      <c r="A34" s="20" t="s">
        <v>9</v>
      </c>
      <c r="B34" s="21">
        <v>0</v>
      </c>
      <c r="C34" s="22">
        <v>182.72920000000002</v>
      </c>
      <c r="D34" s="53">
        <v>1</v>
      </c>
      <c r="E34" s="23" t="e">
        <v>#DIV/0!</v>
      </c>
      <c r="F34" s="22">
        <v>0</v>
      </c>
      <c r="G34" s="22">
        <v>0</v>
      </c>
      <c r="H34" s="22">
        <v>0</v>
      </c>
      <c r="I34" s="22">
        <f t="shared" si="8"/>
        <v>0</v>
      </c>
      <c r="J34" s="28">
        <v>0.93904932772572269</v>
      </c>
      <c r="K34" s="28" t="e">
        <f>ROUND(L34/I34/J34,7)</f>
        <v>#DIV/0!</v>
      </c>
      <c r="L34" s="24">
        <v>0</v>
      </c>
      <c r="M34" s="47" t="e">
        <f t="shared" si="0"/>
        <v>#DIV/0!</v>
      </c>
      <c r="O34" s="4" t="e">
        <f t="shared" si="1"/>
        <v>#DIV/0!</v>
      </c>
    </row>
    <row r="35" spans="1:15" ht="26.25" x14ac:dyDescent="0.25">
      <c r="A35" s="26" t="s">
        <v>6</v>
      </c>
      <c r="B35" s="21">
        <v>5800</v>
      </c>
      <c r="C35" s="22">
        <v>182.72920000000002</v>
      </c>
      <c r="D35" s="53">
        <v>1</v>
      </c>
      <c r="E35" s="23">
        <v>1.5240699</v>
      </c>
      <c r="F35" s="22">
        <v>0</v>
      </c>
      <c r="G35" s="22">
        <v>1615254</v>
      </c>
      <c r="H35" s="22">
        <v>0</v>
      </c>
      <c r="I35" s="22">
        <f t="shared" si="8"/>
        <v>1615254</v>
      </c>
      <c r="J35" s="28">
        <v>0.93904932772572269</v>
      </c>
      <c r="K35" s="28">
        <f>ROUND(L35/I35/J35,7)</f>
        <v>0.94041209999999997</v>
      </c>
      <c r="L35" s="24">
        <v>1426420</v>
      </c>
      <c r="M35" s="47">
        <f t="shared" si="0"/>
        <v>1.5240699</v>
      </c>
      <c r="O35" s="4">
        <f t="shared" si="1"/>
        <v>1615254.0267122642</v>
      </c>
    </row>
    <row r="36" spans="1:15" ht="71.25" x14ac:dyDescent="0.25">
      <c r="A36" s="15" t="s">
        <v>36</v>
      </c>
      <c r="B36" s="16">
        <v>185690</v>
      </c>
      <c r="C36" s="17">
        <v>182.72920000000002</v>
      </c>
      <c r="D36" s="53">
        <v>1</v>
      </c>
      <c r="E36" s="18">
        <v>1.0413687</v>
      </c>
      <c r="F36" s="17">
        <f>F37+F38+F39+F40+F41+F42</f>
        <v>0</v>
      </c>
      <c r="G36" s="17">
        <f>SUM(G37:G42)</f>
        <v>35334666.799999997</v>
      </c>
      <c r="H36" s="17">
        <f>SUM(H37:H42)</f>
        <v>0</v>
      </c>
      <c r="I36" s="17">
        <f>SUM(I37:I42)</f>
        <v>35334666.799999997</v>
      </c>
      <c r="J36" s="19">
        <f t="shared" si="4"/>
        <v>0.92940185868683511</v>
      </c>
      <c r="K36" s="19" t="s">
        <v>56</v>
      </c>
      <c r="L36" s="17">
        <v>32840105</v>
      </c>
      <c r="M36" s="47">
        <f t="shared" si="0"/>
        <v>1.0413687</v>
      </c>
      <c r="O36" s="4">
        <f t="shared" si="1"/>
        <v>35334665.893292069</v>
      </c>
    </row>
    <row r="37" spans="1:15" x14ac:dyDescent="0.25">
      <c r="A37" s="20" t="s">
        <v>4</v>
      </c>
      <c r="B37" s="21">
        <v>76816</v>
      </c>
      <c r="C37" s="22">
        <v>182.72920000000002</v>
      </c>
      <c r="D37" s="53">
        <v>1</v>
      </c>
      <c r="E37" s="23">
        <v>1.2494498999999999</v>
      </c>
      <c r="F37" s="22">
        <v>0</v>
      </c>
      <c r="G37" s="22">
        <v>17537936</v>
      </c>
      <c r="H37" s="22">
        <v>0</v>
      </c>
      <c r="I37" s="22">
        <f t="shared" ref="I37:I42" si="9">G37-H37</f>
        <v>17537936</v>
      </c>
      <c r="J37" s="28">
        <v>0.92940185868683511</v>
      </c>
      <c r="K37" s="28">
        <f t="shared" ref="K37:K42" si="10">ROUND(L37/I37/J37,7)</f>
        <v>1.0033502999999999</v>
      </c>
      <c r="L37" s="24">
        <v>16354400</v>
      </c>
      <c r="M37" s="47">
        <f t="shared" si="0"/>
        <v>1.2494498999999999</v>
      </c>
      <c r="O37" s="4">
        <f t="shared" si="1"/>
        <v>17537936.290922418</v>
      </c>
    </row>
    <row r="38" spans="1:15" x14ac:dyDescent="0.25">
      <c r="A38" s="26" t="s">
        <v>5</v>
      </c>
      <c r="B38" s="21">
        <v>17261</v>
      </c>
      <c r="C38" s="22">
        <v>182.72920000000002</v>
      </c>
      <c r="D38" s="53">
        <v>1</v>
      </c>
      <c r="E38" s="23">
        <v>0.58222240000000003</v>
      </c>
      <c r="F38" s="22">
        <v>0</v>
      </c>
      <c r="G38" s="22">
        <v>1836381.2</v>
      </c>
      <c r="H38" s="22">
        <v>0</v>
      </c>
      <c r="I38" s="22">
        <f t="shared" si="9"/>
        <v>1836381.2</v>
      </c>
      <c r="J38" s="28">
        <v>0.92940185868683511</v>
      </c>
      <c r="K38" s="28">
        <f t="shared" si="10"/>
        <v>1.0515422000000001</v>
      </c>
      <c r="L38" s="24">
        <v>1794705</v>
      </c>
      <c r="M38" s="47">
        <f t="shared" si="0"/>
        <v>0.58222240000000003</v>
      </c>
      <c r="O38" s="4">
        <f t="shared" si="1"/>
        <v>1836381.1050699952</v>
      </c>
    </row>
    <row r="39" spans="1:15" ht="26.25" x14ac:dyDescent="0.25">
      <c r="A39" s="26" t="s">
        <v>6</v>
      </c>
      <c r="B39" s="21">
        <v>30800</v>
      </c>
      <c r="C39" s="22">
        <v>182.72920000000002</v>
      </c>
      <c r="D39" s="53">
        <v>1</v>
      </c>
      <c r="E39" s="23">
        <v>1.5306010999999999</v>
      </c>
      <c r="F39" s="22">
        <v>0</v>
      </c>
      <c r="G39" s="22">
        <v>8614313.5999999996</v>
      </c>
      <c r="H39" s="22">
        <v>0</v>
      </c>
      <c r="I39" s="22">
        <f t="shared" si="9"/>
        <v>8614313.5999999996</v>
      </c>
      <c r="J39" s="28">
        <v>0.92940185868683511</v>
      </c>
      <c r="K39" s="28">
        <f t="shared" si="10"/>
        <v>0.95016100000000003</v>
      </c>
      <c r="L39" s="24">
        <v>7607140</v>
      </c>
      <c r="M39" s="47">
        <f t="shared" si="0"/>
        <v>1.5306010999999999</v>
      </c>
      <c r="O39" s="4">
        <f t="shared" si="1"/>
        <v>8614313.8472812958</v>
      </c>
    </row>
    <row r="40" spans="1:15" x14ac:dyDescent="0.25">
      <c r="A40" s="20" t="s">
        <v>7</v>
      </c>
      <c r="B40" s="21">
        <v>11956</v>
      </c>
      <c r="C40" s="22">
        <v>182.72920000000002</v>
      </c>
      <c r="D40" s="53">
        <v>1</v>
      </c>
      <c r="E40" s="23">
        <v>0.54583859999999995</v>
      </c>
      <c r="F40" s="22">
        <v>0</v>
      </c>
      <c r="G40" s="22">
        <v>1192499.2</v>
      </c>
      <c r="H40" s="22">
        <v>0</v>
      </c>
      <c r="I40" s="22">
        <f t="shared" si="9"/>
        <v>1192499.2</v>
      </c>
      <c r="J40" s="28">
        <v>0.92940185868683511</v>
      </c>
      <c r="K40" s="28">
        <f t="shared" si="10"/>
        <v>0.99744569999999999</v>
      </c>
      <c r="L40" s="24">
        <v>1105480</v>
      </c>
      <c r="M40" s="47">
        <f t="shared" ref="M40:M76" si="11">ROUND((G40-F40)/(B40*C40),7)</f>
        <v>0.54583859999999995</v>
      </c>
      <c r="O40" s="4">
        <f t="shared" ref="O40:O76" si="12">(B40*C40*D40*E40)+F40</f>
        <v>1192499.2198543267</v>
      </c>
    </row>
    <row r="41" spans="1:15" x14ac:dyDescent="0.25">
      <c r="A41" s="20" t="s">
        <v>8</v>
      </c>
      <c r="B41" s="21">
        <v>20146</v>
      </c>
      <c r="C41" s="22">
        <v>182.72920000000002</v>
      </c>
      <c r="D41" s="53">
        <v>1</v>
      </c>
      <c r="E41" s="23">
        <v>0.93688660000000001</v>
      </c>
      <c r="F41" s="22">
        <v>0</v>
      </c>
      <c r="G41" s="22">
        <v>3448925.6</v>
      </c>
      <c r="H41" s="22">
        <v>0</v>
      </c>
      <c r="I41" s="22">
        <f t="shared" si="9"/>
        <v>3448925.6</v>
      </c>
      <c r="J41" s="28">
        <v>0.92940185868683511</v>
      </c>
      <c r="K41" s="28">
        <f t="shared" si="10"/>
        <v>1.0635333</v>
      </c>
      <c r="L41" s="24">
        <v>3409090</v>
      </c>
      <c r="M41" s="47">
        <f t="shared" si="11"/>
        <v>0.93688660000000001</v>
      </c>
      <c r="O41" s="4">
        <f t="shared" si="12"/>
        <v>3448925.4728550739</v>
      </c>
    </row>
    <row r="42" spans="1:15" x14ac:dyDescent="0.25">
      <c r="A42" s="20" t="s">
        <v>9</v>
      </c>
      <c r="B42" s="21">
        <v>28711</v>
      </c>
      <c r="C42" s="22">
        <v>182.72920000000002</v>
      </c>
      <c r="D42" s="53">
        <v>1</v>
      </c>
      <c r="E42" s="23">
        <v>0.51552359999999997</v>
      </c>
      <c r="F42" s="22">
        <v>0</v>
      </c>
      <c r="G42" s="22">
        <v>2704611.2</v>
      </c>
      <c r="H42" s="22">
        <v>0</v>
      </c>
      <c r="I42" s="22">
        <f t="shared" si="9"/>
        <v>2704611.2</v>
      </c>
      <c r="J42" s="28">
        <v>0.92940185868683511</v>
      </c>
      <c r="K42" s="28">
        <f t="shared" si="10"/>
        <v>1.0221267000000001</v>
      </c>
      <c r="L42" s="24">
        <v>2569290</v>
      </c>
      <c r="M42" s="47">
        <f t="shared" si="11"/>
        <v>0.51552359999999997</v>
      </c>
      <c r="O42" s="4">
        <f t="shared" si="12"/>
        <v>2704611.0841268445</v>
      </c>
    </row>
    <row r="43" spans="1:15" ht="71.25" x14ac:dyDescent="0.25">
      <c r="A43" s="15" t="s">
        <v>37</v>
      </c>
      <c r="B43" s="16">
        <v>57832</v>
      </c>
      <c r="C43" s="17">
        <v>182.72920000000002</v>
      </c>
      <c r="D43" s="53">
        <v>1</v>
      </c>
      <c r="E43" s="18">
        <v>1.2564058</v>
      </c>
      <c r="F43" s="17">
        <f>F44+F45+F46</f>
        <v>0</v>
      </c>
      <c r="G43" s="17">
        <f>SUM(G44:G46)</f>
        <v>13277187.52</v>
      </c>
      <c r="H43" s="17">
        <f>SUM(H44:H46)</f>
        <v>0</v>
      </c>
      <c r="I43" s="17">
        <f>SUM(I44:I46)</f>
        <v>13277187.52</v>
      </c>
      <c r="J43" s="19">
        <f t="shared" si="4"/>
        <v>0.92084019914482618</v>
      </c>
      <c r="K43" s="19" t="s">
        <v>56</v>
      </c>
      <c r="L43" s="17">
        <v>12226168</v>
      </c>
      <c r="M43" s="47">
        <f t="shared" si="11"/>
        <v>1.2564058</v>
      </c>
      <c r="O43" s="4">
        <f t="shared" si="12"/>
        <v>13277187.76865571</v>
      </c>
    </row>
    <row r="44" spans="1:15" x14ac:dyDescent="0.25">
      <c r="A44" s="20" t="s">
        <v>4</v>
      </c>
      <c r="B44" s="21">
        <v>38713</v>
      </c>
      <c r="C44" s="22">
        <v>182.72920000000002</v>
      </c>
      <c r="D44" s="53">
        <v>1</v>
      </c>
      <c r="E44" s="23">
        <v>1.2403384</v>
      </c>
      <c r="F44" s="22">
        <v>0</v>
      </c>
      <c r="G44" s="22">
        <v>8774148</v>
      </c>
      <c r="H44" s="22">
        <v>0</v>
      </c>
      <c r="I44" s="22">
        <f t="shared" ref="I44:I51" si="13">G44-H44</f>
        <v>8774148</v>
      </c>
      <c r="J44" s="28">
        <v>0.92084019914482618</v>
      </c>
      <c r="K44" s="28">
        <f>ROUND(L44/I44/J44,7)</f>
        <v>1.0124773</v>
      </c>
      <c r="L44" s="24">
        <v>8180400</v>
      </c>
      <c r="M44" s="47">
        <f t="shared" si="11"/>
        <v>1.2403384</v>
      </c>
      <c r="O44" s="4">
        <f t="shared" si="12"/>
        <v>8774148.2843878344</v>
      </c>
    </row>
    <row r="45" spans="1:15" x14ac:dyDescent="0.25">
      <c r="A45" s="26" t="s">
        <v>5</v>
      </c>
      <c r="B45" s="27">
        <v>5619</v>
      </c>
      <c r="C45" s="22">
        <v>182.72920000000002</v>
      </c>
      <c r="D45" s="53">
        <v>1</v>
      </c>
      <c r="E45" s="23">
        <v>0.71512450000000005</v>
      </c>
      <c r="F45" s="22">
        <v>0</v>
      </c>
      <c r="G45" s="22">
        <v>734257.92</v>
      </c>
      <c r="H45" s="22">
        <v>0</v>
      </c>
      <c r="I45" s="22">
        <f t="shared" si="13"/>
        <v>734257.92</v>
      </c>
      <c r="J45" s="28">
        <v>0.92084019914482618</v>
      </c>
      <c r="K45" s="28">
        <f>ROUND(L45/I45/J45,7)</f>
        <v>1.0612952</v>
      </c>
      <c r="L45" s="24">
        <v>717578</v>
      </c>
      <c r="M45" s="47">
        <f t="shared" si="11"/>
        <v>0.71512450000000005</v>
      </c>
      <c r="O45" s="4">
        <f t="shared" si="12"/>
        <v>734257.92402616271</v>
      </c>
    </row>
    <row r="46" spans="1:15" ht="26.25" x14ac:dyDescent="0.25">
      <c r="A46" s="26" t="s">
        <v>6</v>
      </c>
      <c r="B46" s="46">
        <v>13500</v>
      </c>
      <c r="C46" s="22">
        <v>182.72920000000002</v>
      </c>
      <c r="D46" s="53">
        <v>1</v>
      </c>
      <c r="E46" s="23">
        <v>1.5277745</v>
      </c>
      <c r="F46" s="22">
        <v>0</v>
      </c>
      <c r="G46" s="22">
        <v>3768781.6</v>
      </c>
      <c r="H46" s="22">
        <v>0</v>
      </c>
      <c r="I46" s="22">
        <f t="shared" si="13"/>
        <v>3768781.6</v>
      </c>
      <c r="J46" s="28">
        <v>0.92084019914482618</v>
      </c>
      <c r="K46" s="28">
        <f>ROUND(L46/I46/J46,7)</f>
        <v>0.95900940000000001</v>
      </c>
      <c r="L46" s="24">
        <v>3328190</v>
      </c>
      <c r="M46" s="47">
        <f t="shared" si="11"/>
        <v>1.5277745</v>
      </c>
      <c r="O46" s="4">
        <f t="shared" si="12"/>
        <v>3768781.6642329004</v>
      </c>
    </row>
    <row r="47" spans="1:15" ht="58.5" customHeight="1" x14ac:dyDescent="0.25">
      <c r="A47" s="15" t="s">
        <v>38</v>
      </c>
      <c r="B47" s="16">
        <v>71709</v>
      </c>
      <c r="C47" s="17">
        <v>182.72920000000002</v>
      </c>
      <c r="D47" s="53">
        <v>1</v>
      </c>
      <c r="E47" s="18">
        <v>0.9201762</v>
      </c>
      <c r="F47" s="17">
        <f>F48+F50+F51</f>
        <v>0</v>
      </c>
      <c r="G47" s="17">
        <f>SUM(G48:G51)</f>
        <v>12057370.800000001</v>
      </c>
      <c r="H47" s="17">
        <f>SUM(H48:H51)</f>
        <v>0</v>
      </c>
      <c r="I47" s="17">
        <f t="shared" si="13"/>
        <v>12057370.800000001</v>
      </c>
      <c r="J47" s="19">
        <f t="shared" si="4"/>
        <v>0.90722058576816755</v>
      </c>
      <c r="K47" s="19" t="s">
        <v>56</v>
      </c>
      <c r="L47" s="17">
        <v>10938695</v>
      </c>
      <c r="M47" s="47">
        <f t="shared" si="11"/>
        <v>0.9201762</v>
      </c>
      <c r="O47" s="4">
        <f t="shared" si="12"/>
        <v>12057370.753005335</v>
      </c>
    </row>
    <row r="48" spans="1:15" ht="18" customHeight="1" x14ac:dyDescent="0.25">
      <c r="A48" s="2" t="s">
        <v>7</v>
      </c>
      <c r="B48" s="21">
        <v>26964</v>
      </c>
      <c r="C48" s="22">
        <v>182.72920000000002</v>
      </c>
      <c r="D48" s="53">
        <v>1</v>
      </c>
      <c r="E48" s="23">
        <v>0.54454539999999996</v>
      </c>
      <c r="F48" s="22">
        <v>0</v>
      </c>
      <c r="G48" s="22">
        <v>2683035.2000000002</v>
      </c>
      <c r="H48" s="22">
        <v>0</v>
      </c>
      <c r="I48" s="22">
        <f t="shared" si="13"/>
        <v>2683035.2000000002</v>
      </c>
      <c r="J48" s="28">
        <v>0.90722058576816755</v>
      </c>
      <c r="K48" s="28">
        <f>ROUND(L48/I48/J48,7)</f>
        <v>1.0218254</v>
      </c>
      <c r="L48" s="24">
        <v>2487230</v>
      </c>
      <c r="M48" s="47">
        <f t="shared" si="11"/>
        <v>0.54454539999999996</v>
      </c>
      <c r="O48" s="4">
        <f t="shared" si="12"/>
        <v>2683035.1668223557</v>
      </c>
    </row>
    <row r="49" spans="1:15" ht="18" customHeight="1" x14ac:dyDescent="0.25">
      <c r="A49" s="20" t="s">
        <v>8</v>
      </c>
      <c r="B49" s="21">
        <v>0</v>
      </c>
      <c r="C49" s="22">
        <v>182.72920000000002</v>
      </c>
      <c r="D49" s="53">
        <v>1</v>
      </c>
      <c r="E49" s="23" t="e">
        <v>#DIV/0!</v>
      </c>
      <c r="F49" s="22">
        <v>0</v>
      </c>
      <c r="G49" s="22">
        <v>0</v>
      </c>
      <c r="H49" s="22">
        <v>0</v>
      </c>
      <c r="I49" s="22">
        <f t="shared" si="13"/>
        <v>0</v>
      </c>
      <c r="J49" s="28"/>
      <c r="K49" s="28">
        <v>0</v>
      </c>
      <c r="L49" s="24">
        <v>0</v>
      </c>
      <c r="M49" s="47" t="e">
        <f t="shared" si="11"/>
        <v>#DIV/0!</v>
      </c>
      <c r="O49" s="4" t="e">
        <f t="shared" si="12"/>
        <v>#DIV/0!</v>
      </c>
    </row>
    <row r="50" spans="1:15" ht="26.25" customHeight="1" x14ac:dyDescent="0.25">
      <c r="A50" s="3" t="s">
        <v>5</v>
      </c>
      <c r="B50" s="21">
        <v>17745</v>
      </c>
      <c r="C50" s="22">
        <v>182.72920000000002</v>
      </c>
      <c r="D50" s="53">
        <v>1</v>
      </c>
      <c r="E50" s="23">
        <v>0.56634209999999996</v>
      </c>
      <c r="F50" s="22">
        <v>0</v>
      </c>
      <c r="G50" s="22">
        <v>1836381.2</v>
      </c>
      <c r="H50" s="22">
        <v>0</v>
      </c>
      <c r="I50" s="22">
        <f t="shared" si="13"/>
        <v>1836381.2</v>
      </c>
      <c r="J50" s="28">
        <v>0.90722058576816755</v>
      </c>
      <c r="K50" s="28">
        <f>ROUND(L50/I50/J50,7)</f>
        <v>1.0772520999999999</v>
      </c>
      <c r="L50" s="24">
        <v>1794705</v>
      </c>
      <c r="M50" s="47">
        <f t="shared" si="11"/>
        <v>0.56634209999999996</v>
      </c>
      <c r="O50" s="4">
        <f t="shared" si="12"/>
        <v>1836381.0535586337</v>
      </c>
    </row>
    <row r="51" spans="1:15" ht="30" customHeight="1" x14ac:dyDescent="0.25">
      <c r="A51" s="3" t="s">
        <v>6</v>
      </c>
      <c r="B51" s="21">
        <v>27000</v>
      </c>
      <c r="C51" s="22">
        <v>182.72920000000002</v>
      </c>
      <c r="D51" s="53">
        <v>1</v>
      </c>
      <c r="E51" s="23">
        <v>1.5278537999999999</v>
      </c>
      <c r="F51" s="22">
        <v>0</v>
      </c>
      <c r="G51" s="22">
        <v>7537954.4000000004</v>
      </c>
      <c r="H51" s="22">
        <v>0</v>
      </c>
      <c r="I51" s="22">
        <f t="shared" si="13"/>
        <v>7537954.4000000004</v>
      </c>
      <c r="J51" s="28">
        <v>0.90722058576816755</v>
      </c>
      <c r="K51" s="28">
        <f>ROUND(L51/I51/J51,7)</f>
        <v>0.97341160000000004</v>
      </c>
      <c r="L51" s="24">
        <v>6656760</v>
      </c>
      <c r="M51" s="47">
        <f t="shared" si="11"/>
        <v>1.5278537999999999</v>
      </c>
      <c r="O51" s="4">
        <f t="shared" si="12"/>
        <v>7537954.5699559199</v>
      </c>
    </row>
    <row r="52" spans="1:15" ht="71.25" x14ac:dyDescent="0.25">
      <c r="A52" s="15" t="s">
        <v>39</v>
      </c>
      <c r="B52" s="16">
        <v>7979</v>
      </c>
      <c r="C52" s="17">
        <v>182.72920000000002</v>
      </c>
      <c r="D52" s="53">
        <v>1</v>
      </c>
      <c r="E52" s="18">
        <v>0.77005420000000002</v>
      </c>
      <c r="F52" s="17">
        <f>F53</f>
        <v>0</v>
      </c>
      <c r="G52" s="17">
        <f>G53+G54</f>
        <v>1122736.1600000001</v>
      </c>
      <c r="H52" s="17">
        <f>SUM(H53:H53)</f>
        <v>0</v>
      </c>
      <c r="I52" s="17">
        <f>I53+I54</f>
        <v>1122736.1600000001</v>
      </c>
      <c r="J52" s="19">
        <f t="shared" si="4"/>
        <v>0.90883240101574703</v>
      </c>
      <c r="K52" s="19" t="s">
        <v>56</v>
      </c>
      <c r="L52" s="17">
        <v>1020379</v>
      </c>
      <c r="M52" s="47">
        <f t="shared" si="11"/>
        <v>0.77005420000000002</v>
      </c>
      <c r="O52" s="4">
        <f t="shared" si="12"/>
        <v>1122736.1642347446</v>
      </c>
    </row>
    <row r="53" spans="1:15" x14ac:dyDescent="0.25">
      <c r="A53" s="20" t="s">
        <v>4</v>
      </c>
      <c r="B53" s="21">
        <v>3479</v>
      </c>
      <c r="C53" s="22">
        <v>182.72920000000002</v>
      </c>
      <c r="D53" s="53">
        <v>1</v>
      </c>
      <c r="E53" s="23">
        <v>0.91946340000000004</v>
      </c>
      <c r="F53" s="22">
        <v>0</v>
      </c>
      <c r="G53" s="22">
        <v>584516.56000000006</v>
      </c>
      <c r="H53" s="22">
        <v>0</v>
      </c>
      <c r="I53" s="22">
        <f>G53-H53</f>
        <v>584516.56000000006</v>
      </c>
      <c r="J53" s="28">
        <v>0.90883240101574703</v>
      </c>
      <c r="K53" s="28">
        <f>ROUND(L53/I53/J53,7)</f>
        <v>1.0259990000000001</v>
      </c>
      <c r="L53" s="24">
        <v>545039</v>
      </c>
      <c r="M53" s="47">
        <f t="shared" si="11"/>
        <v>0.91946340000000004</v>
      </c>
      <c r="O53" s="4">
        <f t="shared" si="12"/>
        <v>584516.57124774321</v>
      </c>
    </row>
    <row r="54" spans="1:15" ht="26.25" x14ac:dyDescent="0.25">
      <c r="A54" s="3" t="s">
        <v>6</v>
      </c>
      <c r="B54" s="21">
        <v>4500</v>
      </c>
      <c r="C54" s="22">
        <v>182.72920000000002</v>
      </c>
      <c r="D54" s="53">
        <v>1</v>
      </c>
      <c r="E54" s="23">
        <v>0.65454429999999997</v>
      </c>
      <c r="F54" s="22">
        <v>0</v>
      </c>
      <c r="G54" s="22">
        <v>538219.6</v>
      </c>
      <c r="H54" s="22">
        <v>0</v>
      </c>
      <c r="I54" s="22">
        <f>G54-H54</f>
        <v>538219.6</v>
      </c>
      <c r="J54" s="28">
        <v>0.90883240101574703</v>
      </c>
      <c r="K54" s="28">
        <f>ROUND(L54/I54/J54,7)</f>
        <v>0.97176450000000003</v>
      </c>
      <c r="L54" s="24">
        <v>475340</v>
      </c>
      <c r="M54" s="47">
        <f t="shared" si="11"/>
        <v>0.65454429999999997</v>
      </c>
      <c r="O54" s="4">
        <f t="shared" si="12"/>
        <v>538219.60336602002</v>
      </c>
    </row>
    <row r="55" spans="1:15" ht="69.75" customHeight="1" x14ac:dyDescent="0.25">
      <c r="A55" s="15" t="s">
        <v>40</v>
      </c>
      <c r="B55" s="35">
        <v>5032</v>
      </c>
      <c r="C55" s="17">
        <v>182.72920000000002</v>
      </c>
      <c r="D55" s="53">
        <v>1</v>
      </c>
      <c r="E55" s="18">
        <v>1.2718048</v>
      </c>
      <c r="F55" s="17">
        <f>F56</f>
        <v>0</v>
      </c>
      <c r="G55" s="17">
        <f t="shared" ref="G55:H55" si="14">G56</f>
        <v>1169416</v>
      </c>
      <c r="H55" s="17">
        <f t="shared" si="14"/>
        <v>0</v>
      </c>
      <c r="I55" s="17">
        <f>I56</f>
        <v>1169416</v>
      </c>
      <c r="J55" s="19">
        <f t="shared" si="4"/>
        <v>0.93238847424697457</v>
      </c>
      <c r="K55" s="19" t="s">
        <v>56</v>
      </c>
      <c r="L55" s="31">
        <v>1090350</v>
      </c>
      <c r="M55" s="47">
        <f t="shared" si="11"/>
        <v>1.2718048</v>
      </c>
      <c r="O55" s="4">
        <f t="shared" si="12"/>
        <v>1169416.0362579252</v>
      </c>
    </row>
    <row r="56" spans="1:15" ht="20.25" customHeight="1" x14ac:dyDescent="0.25">
      <c r="A56" s="20" t="s">
        <v>4</v>
      </c>
      <c r="B56" s="21">
        <v>5032</v>
      </c>
      <c r="C56" s="22">
        <v>182.72920000000002</v>
      </c>
      <c r="D56" s="53">
        <v>1</v>
      </c>
      <c r="E56" s="23">
        <v>1.2718048</v>
      </c>
      <c r="F56" s="22">
        <v>0</v>
      </c>
      <c r="G56" s="22">
        <v>1169416</v>
      </c>
      <c r="H56" s="22">
        <v>0</v>
      </c>
      <c r="I56" s="22">
        <f>G56-H56</f>
        <v>1169416</v>
      </c>
      <c r="J56" s="28">
        <v>0.93238847424697457</v>
      </c>
      <c r="K56" s="28">
        <f>ROUND(L56/I56/J56,7)</f>
        <v>1</v>
      </c>
      <c r="L56" s="24">
        <v>1090350</v>
      </c>
      <c r="M56" s="47">
        <f t="shared" si="11"/>
        <v>1.2718048</v>
      </c>
      <c r="O56" s="4">
        <f t="shared" si="12"/>
        <v>1169416.0362579252</v>
      </c>
    </row>
    <row r="57" spans="1:15" ht="55.5" customHeight="1" x14ac:dyDescent="0.25">
      <c r="A57" s="15" t="s">
        <v>41</v>
      </c>
      <c r="B57" s="36">
        <v>28220</v>
      </c>
      <c r="C57" s="17">
        <v>182.72920000000002</v>
      </c>
      <c r="D57" s="53">
        <v>1</v>
      </c>
      <c r="E57" s="18">
        <v>0.52449319999999999</v>
      </c>
      <c r="F57" s="17">
        <f>F58</f>
        <v>0</v>
      </c>
      <c r="G57" s="17">
        <f>SUM(G58:G58)</f>
        <v>2704611.2</v>
      </c>
      <c r="H57" s="17">
        <f>SUM(H58:H58)</f>
        <v>0</v>
      </c>
      <c r="I57" s="17">
        <f>SUM(I58:I58)</f>
        <v>2704611.2</v>
      </c>
      <c r="J57" s="19">
        <f t="shared" si="4"/>
        <v>0.9499664868650991</v>
      </c>
      <c r="K57" s="19" t="s">
        <v>56</v>
      </c>
      <c r="L57" s="31">
        <v>2569290</v>
      </c>
      <c r="M57" s="47">
        <f t="shared" si="11"/>
        <v>0.52449319999999999</v>
      </c>
      <c r="O57" s="4">
        <f t="shared" si="12"/>
        <v>2704611.0885854368</v>
      </c>
    </row>
    <row r="58" spans="1:15" x14ac:dyDescent="0.25">
      <c r="A58" s="20" t="s">
        <v>9</v>
      </c>
      <c r="B58" s="21">
        <v>28220</v>
      </c>
      <c r="C58" s="22">
        <v>182.72920000000002</v>
      </c>
      <c r="D58" s="53">
        <v>1</v>
      </c>
      <c r="E58" s="23">
        <v>0.52449319999999999</v>
      </c>
      <c r="F58" s="22">
        <v>0</v>
      </c>
      <c r="G58" s="22">
        <v>2704611.2</v>
      </c>
      <c r="H58" s="22">
        <v>0</v>
      </c>
      <c r="I58" s="22">
        <f>G58-H58</f>
        <v>2704611.2</v>
      </c>
      <c r="J58" s="28">
        <v>0.9499664868650991</v>
      </c>
      <c r="K58" s="28">
        <f>ROUND(L58/I58/J58,7)</f>
        <v>1</v>
      </c>
      <c r="L58" s="24">
        <v>2569290</v>
      </c>
      <c r="M58" s="47">
        <f t="shared" si="11"/>
        <v>0.52449319999999999</v>
      </c>
      <c r="O58" s="4">
        <f t="shared" si="12"/>
        <v>2704611.0885854368</v>
      </c>
    </row>
    <row r="59" spans="1:15" ht="71.25" x14ac:dyDescent="0.25">
      <c r="A59" s="15" t="s">
        <v>42</v>
      </c>
      <c r="B59" s="35">
        <v>255170</v>
      </c>
      <c r="C59" s="17">
        <v>182.72920000000002</v>
      </c>
      <c r="D59" s="53">
        <v>1</v>
      </c>
      <c r="E59" s="18">
        <v>0.54707930000000005</v>
      </c>
      <c r="F59" s="17">
        <f>F60+F61+F62</f>
        <v>0</v>
      </c>
      <c r="G59" s="17">
        <f t="shared" ref="G59:I59" si="15">SUM(G60:G62)</f>
        <v>25508672.399999999</v>
      </c>
      <c r="H59" s="17">
        <f>SUM(H60:H62)</f>
        <v>0</v>
      </c>
      <c r="I59" s="17">
        <f t="shared" si="15"/>
        <v>25508672.399999999</v>
      </c>
      <c r="J59" s="19">
        <f t="shared" si="4"/>
        <v>0.95363175388147603</v>
      </c>
      <c r="K59" s="19" t="s">
        <v>56</v>
      </c>
      <c r="L59" s="31">
        <v>24325880</v>
      </c>
      <c r="M59" s="47">
        <f t="shared" si="11"/>
        <v>0.54707930000000005</v>
      </c>
      <c r="O59" s="4">
        <f t="shared" si="12"/>
        <v>25508671.972198147</v>
      </c>
    </row>
    <row r="60" spans="1:15" x14ac:dyDescent="0.25">
      <c r="A60" s="26" t="s">
        <v>5</v>
      </c>
      <c r="B60" s="21">
        <v>84625</v>
      </c>
      <c r="C60" s="22">
        <v>182.72920000000002</v>
      </c>
      <c r="D60" s="53">
        <v>1</v>
      </c>
      <c r="E60" s="23">
        <v>0.59401219999999999</v>
      </c>
      <c r="F60" s="22">
        <v>0</v>
      </c>
      <c r="G60" s="22">
        <v>9185483.1999999993</v>
      </c>
      <c r="H60" s="22">
        <v>0</v>
      </c>
      <c r="I60" s="22">
        <f>G60-H60</f>
        <v>9185483.1999999993</v>
      </c>
      <c r="J60" s="28">
        <v>0.95363175388147603</v>
      </c>
      <c r="K60" s="28">
        <f>ROUND(L60/I60/J60,7)</f>
        <v>1.0248119</v>
      </c>
      <c r="L60" s="24">
        <v>8976910</v>
      </c>
      <c r="M60" s="47">
        <f t="shared" si="11"/>
        <v>0.59401219999999999</v>
      </c>
      <c r="O60" s="4">
        <f t="shared" si="12"/>
        <v>9185483.0328943115</v>
      </c>
    </row>
    <row r="61" spans="1:15" x14ac:dyDescent="0.25">
      <c r="A61" s="20" t="s">
        <v>9</v>
      </c>
      <c r="B61" s="21">
        <v>103771</v>
      </c>
      <c r="C61" s="22">
        <v>182.72920000000002</v>
      </c>
      <c r="D61" s="53">
        <v>1</v>
      </c>
      <c r="E61" s="23">
        <v>0.49922729999999998</v>
      </c>
      <c r="F61" s="22">
        <v>0</v>
      </c>
      <c r="G61" s="22">
        <v>9466344</v>
      </c>
      <c r="H61" s="22">
        <v>0</v>
      </c>
      <c r="I61" s="22">
        <f>G61-H61</f>
        <v>9466344</v>
      </c>
      <c r="J61" s="28">
        <v>0.95363175388147603</v>
      </c>
      <c r="K61" s="28">
        <f>ROUND(L61/I61/J61,7)</f>
        <v>0.9961544</v>
      </c>
      <c r="L61" s="24">
        <v>8992690</v>
      </c>
      <c r="M61" s="47">
        <f t="shared" si="11"/>
        <v>0.49922729999999998</v>
      </c>
      <c r="O61" s="4">
        <f t="shared" si="12"/>
        <v>9466343.9755259398</v>
      </c>
    </row>
    <row r="62" spans="1:15" x14ac:dyDescent="0.25">
      <c r="A62" s="20" t="s">
        <v>26</v>
      </c>
      <c r="B62" s="21">
        <v>66774</v>
      </c>
      <c r="C62" s="22">
        <v>182.72920000000002</v>
      </c>
      <c r="D62" s="53">
        <v>1</v>
      </c>
      <c r="E62" s="23">
        <v>0.56196469999999998</v>
      </c>
      <c r="F62" s="22">
        <v>0</v>
      </c>
      <c r="G62" s="22">
        <v>6856845.2000000002</v>
      </c>
      <c r="H62" s="22">
        <v>0</v>
      </c>
      <c r="I62" s="22">
        <f>G62-H62</f>
        <v>6856845.2000000002</v>
      </c>
      <c r="J62" s="28">
        <v>0.95363175388147603</v>
      </c>
      <c r="K62" s="28">
        <f>ROUND(L62/I62/J62,7)</f>
        <v>0.97207100000000002</v>
      </c>
      <c r="L62" s="24">
        <v>6356280</v>
      </c>
      <c r="M62" s="47">
        <f t="shared" si="11"/>
        <v>0.56196469999999998</v>
      </c>
      <c r="O62" s="4">
        <f t="shared" si="12"/>
        <v>6856845.7805956928</v>
      </c>
    </row>
    <row r="63" spans="1:15" ht="70.5" customHeight="1" x14ac:dyDescent="0.25">
      <c r="A63" s="15" t="s">
        <v>43</v>
      </c>
      <c r="B63" s="37">
        <v>444000</v>
      </c>
      <c r="C63" s="17">
        <v>347.87520000000006</v>
      </c>
      <c r="D63" s="53">
        <v>1</v>
      </c>
      <c r="E63" s="18">
        <v>0.7112465</v>
      </c>
      <c r="F63" s="17">
        <f>F64</f>
        <v>595133.53</v>
      </c>
      <c r="G63" s="38">
        <f>G64</f>
        <v>110451838.92999999</v>
      </c>
      <c r="H63" s="38">
        <f>H64</f>
        <v>4362.33</v>
      </c>
      <c r="I63" s="38">
        <f>I64</f>
        <v>110447476.59999999</v>
      </c>
      <c r="J63" s="19">
        <f t="shared" si="4"/>
        <v>0.95249264735125694</v>
      </c>
      <c r="K63" s="19" t="s">
        <v>56</v>
      </c>
      <c r="L63" s="29">
        <v>105200409.38</v>
      </c>
      <c r="M63" s="47">
        <f t="shared" si="11"/>
        <v>0.7112465</v>
      </c>
      <c r="O63" s="4">
        <f t="shared" si="12"/>
        <v>110451841.71593924</v>
      </c>
    </row>
    <row r="64" spans="1:15" ht="19.5" customHeight="1" x14ac:dyDescent="0.25">
      <c r="A64" s="39" t="s">
        <v>11</v>
      </c>
      <c r="B64" s="40">
        <v>444000</v>
      </c>
      <c r="C64" s="22">
        <v>347.87520000000006</v>
      </c>
      <c r="D64" s="53">
        <v>1</v>
      </c>
      <c r="E64" s="23">
        <v>0.7112465</v>
      </c>
      <c r="F64" s="22">
        <f>' Приложение № 1 2025г'!F64</f>
        <v>595133.53</v>
      </c>
      <c r="G64" s="41">
        <f>110447476.6-590771.2+F64</f>
        <v>110451838.92999999</v>
      </c>
      <c r="H64" s="41">
        <f>' Приложение № 1 2025г'!H64</f>
        <v>4362.33</v>
      </c>
      <c r="I64" s="41">
        <f>G64-H64</f>
        <v>110447476.59999999</v>
      </c>
      <c r="J64" s="28">
        <f t="shared" si="4"/>
        <v>0.95249264735125694</v>
      </c>
      <c r="K64" s="28">
        <f>ROUND(L64/I64/J64,7)</f>
        <v>1</v>
      </c>
      <c r="L64" s="42">
        <v>105200409.38</v>
      </c>
      <c r="M64" s="47">
        <f t="shared" si="11"/>
        <v>0.7112465</v>
      </c>
      <c r="O64" s="4">
        <f t="shared" si="12"/>
        <v>110451841.71593924</v>
      </c>
    </row>
    <row r="65" spans="1:15" ht="57" customHeight="1" x14ac:dyDescent="0.25">
      <c r="A65" s="15" t="s">
        <v>44</v>
      </c>
      <c r="B65" s="37">
        <v>53000</v>
      </c>
      <c r="C65" s="17">
        <v>1953.8184000000001</v>
      </c>
      <c r="D65" s="53">
        <v>1</v>
      </c>
      <c r="E65" s="18">
        <v>1.0613732</v>
      </c>
      <c r="F65" s="17">
        <f>F66</f>
        <v>995046.95</v>
      </c>
      <c r="G65" s="38">
        <f>G66</f>
        <v>110902765.84</v>
      </c>
      <c r="H65" s="38">
        <f>H66</f>
        <v>26956627.32</v>
      </c>
      <c r="I65" s="38">
        <f>I66</f>
        <v>83946138.520000011</v>
      </c>
      <c r="J65" s="19">
        <f t="shared" si="4"/>
        <v>0.89117449937469728</v>
      </c>
      <c r="K65" s="19" t="s">
        <v>56</v>
      </c>
      <c r="L65" s="29">
        <v>74810657.969999999</v>
      </c>
      <c r="M65" s="47">
        <f t="shared" si="11"/>
        <v>1.0613732</v>
      </c>
      <c r="O65" s="4">
        <f t="shared" si="12"/>
        <v>110902762.78362465</v>
      </c>
    </row>
    <row r="66" spans="1:15" ht="16.5" customHeight="1" x14ac:dyDescent="0.25">
      <c r="A66" s="26" t="s">
        <v>12</v>
      </c>
      <c r="B66" s="27">
        <v>53000</v>
      </c>
      <c r="C66" s="22">
        <v>1953.8184000000001</v>
      </c>
      <c r="D66" s="53">
        <v>1</v>
      </c>
      <c r="E66" s="23">
        <v>1.0613732</v>
      </c>
      <c r="F66" s="22">
        <f>' Приложение № 1 2025г'!F66</f>
        <v>995046.95</v>
      </c>
      <c r="G66" s="41">
        <f>83946138.52-974419.63+F66+26936000</f>
        <v>110902765.84</v>
      </c>
      <c r="H66" s="41">
        <f>20627.32+26936000</f>
        <v>26956627.32</v>
      </c>
      <c r="I66" s="41">
        <f>G66-H66</f>
        <v>83946138.520000011</v>
      </c>
      <c r="J66" s="28">
        <f t="shared" si="4"/>
        <v>0.89117449937469728</v>
      </c>
      <c r="K66" s="28">
        <f>ROUND(L66/I66/J66,7)</f>
        <v>1</v>
      </c>
      <c r="L66" s="42">
        <v>74810657.969999999</v>
      </c>
      <c r="M66" s="47">
        <f t="shared" si="11"/>
        <v>1.0613732</v>
      </c>
      <c r="O66" s="4">
        <f t="shared" si="12"/>
        <v>110902762.78362465</v>
      </c>
    </row>
    <row r="67" spans="1:15" ht="55.5" customHeight="1" x14ac:dyDescent="0.25">
      <c r="A67" s="15" t="s">
        <v>44</v>
      </c>
      <c r="B67" s="37">
        <v>22000</v>
      </c>
      <c r="C67" s="17">
        <v>1953.8184000000001</v>
      </c>
      <c r="D67" s="53">
        <v>1</v>
      </c>
      <c r="E67" s="18">
        <v>1.4631445000000001</v>
      </c>
      <c r="F67" s="17">
        <f>F68</f>
        <v>40118.230000000003</v>
      </c>
      <c r="G67" s="38">
        <f>G68</f>
        <v>62931927.990000002</v>
      </c>
      <c r="H67" s="38">
        <f>H68</f>
        <v>9568098.2899999991</v>
      </c>
      <c r="I67" s="38">
        <f>I68</f>
        <v>53363829.700000003</v>
      </c>
      <c r="J67" s="19">
        <f t="shared" si="4"/>
        <v>0.98150556293376368</v>
      </c>
      <c r="K67" s="19" t="s">
        <v>56</v>
      </c>
      <c r="L67" s="29">
        <v>52376895.710000001</v>
      </c>
      <c r="M67" s="47">
        <f t="shared" si="11"/>
        <v>1.4631445000000001</v>
      </c>
      <c r="O67" s="4">
        <f t="shared" si="12"/>
        <v>62931928.441093609</v>
      </c>
    </row>
    <row r="68" spans="1:15" x14ac:dyDescent="0.25">
      <c r="A68" s="26" t="s">
        <v>13</v>
      </c>
      <c r="B68" s="27">
        <v>22000</v>
      </c>
      <c r="C68" s="22">
        <v>1953.8184000000001</v>
      </c>
      <c r="D68" s="53">
        <v>1</v>
      </c>
      <c r="E68" s="23">
        <v>1.4631445000000001</v>
      </c>
      <c r="F68" s="22">
        <f>' Приложение № 1 2025г'!F68</f>
        <v>40118.230000000003</v>
      </c>
      <c r="G68" s="41">
        <f>53363829.7-40019.94+F68+9568000</f>
        <v>62931927.990000002</v>
      </c>
      <c r="H68" s="41">
        <f>98.29+9568000</f>
        <v>9568098.2899999991</v>
      </c>
      <c r="I68" s="41">
        <f>G68-H68</f>
        <v>53363829.700000003</v>
      </c>
      <c r="J68" s="28">
        <f t="shared" si="4"/>
        <v>0.98150556293376368</v>
      </c>
      <c r="K68" s="28">
        <f>ROUND(L68/I68/J68,7)</f>
        <v>1</v>
      </c>
      <c r="L68" s="42">
        <v>52376895.710000001</v>
      </c>
      <c r="M68" s="47">
        <f t="shared" si="11"/>
        <v>1.4631445000000001</v>
      </c>
      <c r="O68" s="4">
        <f t="shared" si="12"/>
        <v>62931928.441093609</v>
      </c>
    </row>
    <row r="69" spans="1:15" ht="78.75" customHeight="1" x14ac:dyDescent="0.25">
      <c r="A69" s="15" t="s">
        <v>45</v>
      </c>
      <c r="B69" s="37">
        <v>22</v>
      </c>
      <c r="C69" s="17">
        <v>4405781.1208000006</v>
      </c>
      <c r="D69" s="53">
        <v>1</v>
      </c>
      <c r="E69" s="18">
        <v>1.2752094</v>
      </c>
      <c r="F69" s="17">
        <f>F70</f>
        <v>0</v>
      </c>
      <c r="G69" s="38">
        <f>G70</f>
        <v>123602455.2</v>
      </c>
      <c r="H69" s="38">
        <f>H70</f>
        <v>27352000</v>
      </c>
      <c r="I69" s="38">
        <f>I70</f>
        <v>96250455.200000003</v>
      </c>
      <c r="J69" s="19">
        <f t="shared" si="4"/>
        <v>0.94713460149952622</v>
      </c>
      <c r="K69" s="19" t="s">
        <v>56</v>
      </c>
      <c r="L69" s="29">
        <v>91162136.530000001</v>
      </c>
      <c r="M69" s="47">
        <f t="shared" si="11"/>
        <v>1.2752094</v>
      </c>
      <c r="O69" s="4">
        <f t="shared" si="12"/>
        <v>123602456.99090733</v>
      </c>
    </row>
    <row r="70" spans="1:15" x14ac:dyDescent="0.25">
      <c r="A70" s="26" t="s">
        <v>19</v>
      </c>
      <c r="B70" s="27">
        <v>22</v>
      </c>
      <c r="C70" s="22">
        <v>4405781.1208000006</v>
      </c>
      <c r="D70" s="53">
        <v>1</v>
      </c>
      <c r="E70" s="23">
        <v>1.2752094</v>
      </c>
      <c r="F70" s="22">
        <v>0</v>
      </c>
      <c r="G70" s="41">
        <f>96250455.2+27352000</f>
        <v>123602455.2</v>
      </c>
      <c r="H70" s="41">
        <v>27352000</v>
      </c>
      <c r="I70" s="41">
        <f>G70-H70</f>
        <v>96250455.200000003</v>
      </c>
      <c r="J70" s="28">
        <f t="shared" si="4"/>
        <v>0.94713460149952622</v>
      </c>
      <c r="K70" s="28">
        <f>ROUND(L70/I70/J70,7)</f>
        <v>1</v>
      </c>
      <c r="L70" s="42">
        <v>91162136.530000001</v>
      </c>
      <c r="M70" s="47">
        <f t="shared" si="11"/>
        <v>1.2752094</v>
      </c>
      <c r="O70" s="4">
        <f t="shared" si="12"/>
        <v>123602456.99090733</v>
      </c>
    </row>
    <row r="71" spans="1:15" ht="54" customHeight="1" x14ac:dyDescent="0.25">
      <c r="A71" s="15" t="s">
        <v>46</v>
      </c>
      <c r="B71" s="37">
        <f>B72</f>
        <v>14</v>
      </c>
      <c r="C71" s="17">
        <v>820797.84720000008</v>
      </c>
      <c r="D71" s="53">
        <v>1</v>
      </c>
      <c r="E71" s="18">
        <v>0.1763874</v>
      </c>
      <c r="F71" s="17">
        <f>F72</f>
        <v>0</v>
      </c>
      <c r="G71" s="38">
        <f>G72</f>
        <v>2026897.3</v>
      </c>
      <c r="H71" s="38">
        <f>H72</f>
        <v>0</v>
      </c>
      <c r="I71" s="38">
        <f>I72</f>
        <v>2026897.3</v>
      </c>
      <c r="J71" s="19">
        <f t="shared" si="4"/>
        <v>1</v>
      </c>
      <c r="K71" s="19" t="s">
        <v>56</v>
      </c>
      <c r="L71" s="29">
        <v>2026897.3</v>
      </c>
      <c r="M71" s="47">
        <f t="shared" si="11"/>
        <v>0.1763874</v>
      </c>
      <c r="O71" s="4">
        <f t="shared" si="12"/>
        <v>2026897.5747048743</v>
      </c>
    </row>
    <row r="72" spans="1:15" x14ac:dyDescent="0.25">
      <c r="A72" s="26" t="s">
        <v>19</v>
      </c>
      <c r="B72" s="27">
        <v>14</v>
      </c>
      <c r="C72" s="22">
        <v>820797.84720000008</v>
      </c>
      <c r="D72" s="53">
        <v>1</v>
      </c>
      <c r="E72" s="23">
        <v>0.1763874</v>
      </c>
      <c r="F72" s="22">
        <v>0</v>
      </c>
      <c r="G72" s="41">
        <v>2026897.3</v>
      </c>
      <c r="H72" s="41">
        <v>0</v>
      </c>
      <c r="I72" s="41">
        <f>G72-H72</f>
        <v>2026897.3</v>
      </c>
      <c r="J72" s="28">
        <f t="shared" si="4"/>
        <v>1</v>
      </c>
      <c r="K72" s="28">
        <f>ROUND(L72/I72/J72,7)</f>
        <v>1</v>
      </c>
      <c r="L72" s="42">
        <v>2026897.3</v>
      </c>
      <c r="M72" s="47">
        <f t="shared" si="11"/>
        <v>0.1763874</v>
      </c>
      <c r="O72" s="4">
        <f t="shared" si="12"/>
        <v>2026897.5747048743</v>
      </c>
    </row>
    <row r="73" spans="1:15" ht="56.25" customHeight="1" x14ac:dyDescent="0.25">
      <c r="A73" s="15" t="s">
        <v>47</v>
      </c>
      <c r="B73" s="37">
        <v>35000</v>
      </c>
      <c r="C73" s="17">
        <v>488.64159999999998</v>
      </c>
      <c r="D73" s="53">
        <v>1</v>
      </c>
      <c r="E73" s="18">
        <v>0.65633969999999997</v>
      </c>
      <c r="F73" s="17">
        <f>F74</f>
        <v>12675.81</v>
      </c>
      <c r="G73" s="38">
        <f>G74</f>
        <v>11237695.800000001</v>
      </c>
      <c r="H73" s="38">
        <f>H74</f>
        <v>1196219.8</v>
      </c>
      <c r="I73" s="38">
        <f>I74</f>
        <v>10041476</v>
      </c>
      <c r="J73" s="19">
        <f t="shared" si="4"/>
        <v>0.96446606255893064</v>
      </c>
      <c r="K73" s="19" t="s">
        <v>56</v>
      </c>
      <c r="L73" s="29">
        <v>9684662.8200000003</v>
      </c>
      <c r="M73" s="47">
        <f t="shared" si="11"/>
        <v>0.65633969999999997</v>
      </c>
      <c r="O73" s="4">
        <f t="shared" si="12"/>
        <v>11237696.6503032</v>
      </c>
    </row>
    <row r="74" spans="1:15" ht="15" customHeight="1" x14ac:dyDescent="0.25">
      <c r="A74" s="26" t="s">
        <v>14</v>
      </c>
      <c r="B74" s="27">
        <v>35000</v>
      </c>
      <c r="C74" s="22">
        <v>488.64159999999998</v>
      </c>
      <c r="D74" s="53">
        <v>1</v>
      </c>
      <c r="E74" s="23">
        <v>0.65633969999999997</v>
      </c>
      <c r="F74" s="22">
        <f>' Приложение № 1 2025г'!F74</f>
        <v>12675.81</v>
      </c>
      <c r="G74" s="41">
        <f>10041476-12456.01+F74+1196000</f>
        <v>11237695.800000001</v>
      </c>
      <c r="H74" s="41">
        <f>219.8+1196000</f>
        <v>1196219.8</v>
      </c>
      <c r="I74" s="41">
        <f>G74-H74</f>
        <v>10041476</v>
      </c>
      <c r="J74" s="28">
        <f t="shared" si="4"/>
        <v>0.96446606255893064</v>
      </c>
      <c r="K74" s="28">
        <f>ROUND(L74/I74/J74,7)</f>
        <v>1</v>
      </c>
      <c r="L74" s="42">
        <v>9684662.8200000003</v>
      </c>
      <c r="M74" s="47">
        <f t="shared" si="11"/>
        <v>0.65633969999999997</v>
      </c>
      <c r="O74" s="4">
        <f t="shared" si="12"/>
        <v>11237696.6503032</v>
      </c>
    </row>
    <row r="75" spans="1:15" ht="66.75" hidden="1" customHeight="1" x14ac:dyDescent="0.25">
      <c r="A75" s="15" t="s">
        <v>54</v>
      </c>
      <c r="B75" s="53">
        <f>B76</f>
        <v>7</v>
      </c>
      <c r="C75" s="17">
        <f>C76</f>
        <v>4244436.4926000005</v>
      </c>
      <c r="D75" s="53">
        <v>1</v>
      </c>
      <c r="E75" s="19">
        <v>1.3854477999999999</v>
      </c>
      <c r="F75" s="17">
        <f>F76</f>
        <v>237696.07</v>
      </c>
      <c r="G75" s="17">
        <f>G76</f>
        <v>41400812.25</v>
      </c>
      <c r="H75" s="17">
        <f t="shared" ref="H75:L75" si="16">H76</f>
        <v>0</v>
      </c>
      <c r="I75" s="17">
        <f t="shared" si="16"/>
        <v>41400812.25</v>
      </c>
      <c r="J75" s="19">
        <f t="shared" si="4"/>
        <v>0</v>
      </c>
      <c r="K75" s="19" t="s">
        <v>56</v>
      </c>
      <c r="L75" s="17">
        <f t="shared" si="16"/>
        <v>0</v>
      </c>
      <c r="M75" s="47">
        <f t="shared" si="11"/>
        <v>1.3854477999999999</v>
      </c>
      <c r="O75" s="4">
        <f t="shared" si="12"/>
        <v>41400812.476386704</v>
      </c>
    </row>
    <row r="76" spans="1:15" hidden="1" x14ac:dyDescent="0.25">
      <c r="A76" s="64" t="s">
        <v>55</v>
      </c>
      <c r="B76" s="65">
        <v>7</v>
      </c>
      <c r="C76" s="22">
        <v>4244436.4926000005</v>
      </c>
      <c r="D76" s="53">
        <v>1</v>
      </c>
      <c r="E76" s="68">
        <v>1.3854477999999999</v>
      </c>
      <c r="F76" s="66">
        <v>237696.07</v>
      </c>
      <c r="G76" s="24">
        <f>41163116.18+F76</f>
        <v>41400812.25</v>
      </c>
      <c r="H76" s="24">
        <v>0</v>
      </c>
      <c r="I76" s="24">
        <f>G76-H76</f>
        <v>41400812.25</v>
      </c>
      <c r="J76" s="28">
        <f t="shared" ref="J76" si="17">L76/I76</f>
        <v>0</v>
      </c>
      <c r="K76" s="28" t="e">
        <f>ROUND(L76/I76/J76,7)</f>
        <v>#DIV/0!</v>
      </c>
      <c r="L76" s="24"/>
      <c r="M76" s="47">
        <f t="shared" si="11"/>
        <v>1.3854477999999999</v>
      </c>
      <c r="O76" s="4">
        <f t="shared" si="12"/>
        <v>41400812.476386704</v>
      </c>
    </row>
    <row r="77" spans="1:15" hidden="1" x14ac:dyDescent="0.25">
      <c r="A77" s="44"/>
      <c r="B77" s="44"/>
      <c r="C77" s="43"/>
      <c r="D77" s="43"/>
      <c r="E77" s="43"/>
      <c r="F77" s="43"/>
      <c r="G77" s="43"/>
      <c r="H77" s="55" t="s">
        <v>28</v>
      </c>
      <c r="I77" s="59">
        <f>I9+I24+I31+I37+I44+I53+I56</f>
        <v>67534190.620000005</v>
      </c>
      <c r="J77" s="43"/>
      <c r="K77" s="43"/>
      <c r="L77" s="43">
        <f t="shared" ref="L77" si="18">L9+L24+L31+L37+L44+L53+L56</f>
        <v>63092176.019999996</v>
      </c>
    </row>
    <row r="78" spans="1:15" hidden="1" x14ac:dyDescent="0.25">
      <c r="F78" s="45"/>
      <c r="G78" s="45"/>
      <c r="H78" s="56">
        <v>2</v>
      </c>
      <c r="I78" s="60">
        <f>I10+I16+I22+I25+I32+I38+I45+I50+I60</f>
        <v>43350876.719999999</v>
      </c>
      <c r="J78" s="45"/>
      <c r="K78" s="45"/>
      <c r="L78" s="45">
        <f t="shared" ref="L78" si="19">L10+L16+L22+L25+L32+L38+L45+L50+L60</f>
        <v>42160883.420000002</v>
      </c>
    </row>
    <row r="79" spans="1:15" hidden="1" x14ac:dyDescent="0.25">
      <c r="H79" s="54">
        <v>3</v>
      </c>
      <c r="I79" s="60">
        <f>I11+I26+I35+I39+I46+I51+I54</f>
        <v>62117544.560000002</v>
      </c>
      <c r="J79" s="45"/>
      <c r="K79" s="45"/>
      <c r="L79" s="45">
        <f t="shared" ref="L79" si="20">L11+L26+L35+L39+L46+L51+L54</f>
        <v>55157018.189999998</v>
      </c>
    </row>
    <row r="80" spans="1:15" hidden="1" x14ac:dyDescent="0.25">
      <c r="H80" s="54">
        <v>4</v>
      </c>
      <c r="I80" s="60">
        <f>I12+I17+I27+I40+I48+I62</f>
        <v>32773111.959999997</v>
      </c>
      <c r="J80" s="45"/>
      <c r="K80" s="45"/>
      <c r="L80" s="45">
        <f t="shared" ref="L80" si="21">L12+L17+L27+L40+L48+L62</f>
        <v>30391412.5</v>
      </c>
    </row>
    <row r="81" spans="2:12" hidden="1" x14ac:dyDescent="0.25">
      <c r="H81" s="54">
        <v>5</v>
      </c>
      <c r="I81" s="60">
        <f>I13+I18+I28+I33+I41+I49</f>
        <v>41833302.240000002</v>
      </c>
      <c r="J81" s="45"/>
      <c r="K81" s="45"/>
      <c r="L81" s="45">
        <f>L13+L18+L28+L33+L41+L49</f>
        <v>41175658.990000002</v>
      </c>
    </row>
    <row r="82" spans="2:12" hidden="1" x14ac:dyDescent="0.25">
      <c r="H82" s="54">
        <v>7</v>
      </c>
      <c r="I82" s="45">
        <f>I14+I19+I29+I34+I42+I58+I61</f>
        <v>37004627.579999998</v>
      </c>
      <c r="J82" s="45"/>
      <c r="K82" s="45"/>
      <c r="L82" s="45">
        <f t="shared" ref="L82" si="22">L14+L19+L29+L34+L42+L58+L61</f>
        <v>35048147.57</v>
      </c>
    </row>
    <row r="83" spans="2:12" hidden="1" x14ac:dyDescent="0.25">
      <c r="H83" s="54" t="s">
        <v>29</v>
      </c>
      <c r="I83" s="60">
        <f>I20</f>
        <v>26557557</v>
      </c>
      <c r="J83" s="45"/>
      <c r="K83" s="45"/>
      <c r="L83" s="45">
        <f t="shared" ref="L83" si="23">L20</f>
        <v>24288198.550000001</v>
      </c>
    </row>
    <row r="84" spans="2:12" hidden="1" x14ac:dyDescent="0.25">
      <c r="H84" s="54" t="s">
        <v>30</v>
      </c>
      <c r="I84" s="45">
        <f>I70+I72</f>
        <v>98277352.5</v>
      </c>
      <c r="J84" s="45"/>
      <c r="K84" s="45"/>
      <c r="L84" s="45">
        <f t="shared" ref="L84" si="24">L70+L72</f>
        <v>93189033.829999998</v>
      </c>
    </row>
    <row r="85" spans="2:12" hidden="1" x14ac:dyDescent="0.25">
      <c r="H85" s="54"/>
    </row>
    <row r="86" spans="2:12" hidden="1" x14ac:dyDescent="0.25">
      <c r="H86" s="54"/>
    </row>
    <row r="87" spans="2:12" hidden="1" x14ac:dyDescent="0.25">
      <c r="H87" s="54" t="s">
        <v>48</v>
      </c>
      <c r="I87" s="45">
        <f>I77+I78+I79+I80+I81+I82+I83</f>
        <v>311171210.68000001</v>
      </c>
      <c r="J87" s="45"/>
      <c r="K87" s="45"/>
      <c r="L87" s="45">
        <f>L77+L78+L79+L80+L81+L82+L83</f>
        <v>291313495.24000001</v>
      </c>
    </row>
    <row r="88" spans="2:12" hidden="1" x14ac:dyDescent="0.25"/>
    <row r="89" spans="2:12" hidden="1" x14ac:dyDescent="0.25"/>
    <row r="91" spans="2:12" x14ac:dyDescent="0.25">
      <c r="B91" s="51"/>
    </row>
  </sheetData>
  <mergeCells count="3">
    <mergeCell ref="F1:J1"/>
    <mergeCell ref="A2:I2"/>
    <mergeCell ref="C4:F4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1A989-9480-4630-AA32-127B5DE9D406}">
  <sheetPr>
    <pageSetUpPr fitToPage="1"/>
  </sheetPr>
  <dimension ref="A1:P91"/>
  <sheetViews>
    <sheetView tabSelected="1" topLeftCell="A28" workbookViewId="0">
      <selection activeCell="K35" sqref="K35"/>
    </sheetView>
  </sheetViews>
  <sheetFormatPr defaultRowHeight="15" x14ac:dyDescent="0.25"/>
  <cols>
    <col min="1" max="1" width="37.42578125" style="4" customWidth="1"/>
    <col min="2" max="2" width="13.28515625" style="4" customWidth="1"/>
    <col min="3" max="3" width="18" style="4" customWidth="1"/>
    <col min="4" max="4" width="15.42578125" style="4" customWidth="1"/>
    <col min="5" max="5" width="14.85546875" style="4" customWidth="1"/>
    <col min="6" max="6" width="16.140625" style="4" customWidth="1"/>
    <col min="7" max="7" width="18" style="4" customWidth="1"/>
    <col min="8" max="8" width="20" style="4" customWidth="1"/>
    <col min="9" max="9" width="16.85546875" style="4" customWidth="1"/>
    <col min="10" max="11" width="19.140625" style="4" customWidth="1"/>
    <col min="12" max="12" width="19.42578125" style="4" customWidth="1"/>
    <col min="13" max="13" width="12.28515625" style="4" hidden="1" customWidth="1"/>
    <col min="14" max="14" width="13.7109375" style="4" hidden="1" customWidth="1"/>
    <col min="15" max="15" width="23" style="4" hidden="1" customWidth="1"/>
    <col min="16" max="16" width="9.140625" style="4" hidden="1" customWidth="1"/>
    <col min="17" max="18" width="9.140625" style="4" customWidth="1"/>
    <col min="19" max="16384" width="9.140625" style="4"/>
  </cols>
  <sheetData>
    <row r="1" spans="1:15" x14ac:dyDescent="0.25">
      <c r="F1" s="71" t="s">
        <v>3</v>
      </c>
      <c r="G1" s="71"/>
      <c r="H1" s="71"/>
      <c r="I1" s="71"/>
      <c r="J1" s="71"/>
      <c r="K1" s="58"/>
    </row>
    <row r="2" spans="1:15" s="5" customFormat="1" ht="30.75" customHeight="1" x14ac:dyDescent="0.25">
      <c r="A2" s="72" t="s">
        <v>15</v>
      </c>
      <c r="B2" s="72"/>
      <c r="C2" s="72"/>
      <c r="D2" s="72"/>
      <c r="E2" s="72"/>
      <c r="F2" s="72"/>
      <c r="G2" s="72"/>
      <c r="H2" s="72"/>
      <c r="I2" s="72"/>
    </row>
    <row r="3" spans="1:15" s="5" customFormat="1" ht="30.75" customHeight="1" x14ac:dyDescent="0.25">
      <c r="A3" s="6" t="s">
        <v>20</v>
      </c>
      <c r="B3" s="7"/>
      <c r="C3" s="1" t="s">
        <v>27</v>
      </c>
      <c r="D3" s="7"/>
      <c r="E3" s="7"/>
      <c r="F3" s="7"/>
      <c r="G3" s="57"/>
      <c r="H3" s="52"/>
      <c r="I3" s="52"/>
    </row>
    <row r="4" spans="1:15" s="5" customFormat="1" ht="30.75" customHeight="1" x14ac:dyDescent="0.25">
      <c r="A4" s="6"/>
      <c r="B4" s="7"/>
      <c r="C4" s="73" t="s">
        <v>57</v>
      </c>
      <c r="D4" s="73"/>
      <c r="E4" s="73"/>
      <c r="F4" s="73"/>
      <c r="G4" s="57"/>
      <c r="H4" s="52"/>
      <c r="I4" s="52"/>
    </row>
    <row r="5" spans="1:15" s="9" customFormat="1" ht="15.75" x14ac:dyDescent="0.25">
      <c r="C5" s="10"/>
      <c r="D5" s="10"/>
      <c r="E5" s="10"/>
      <c r="F5" s="10"/>
      <c r="G5" s="10"/>
      <c r="H5" s="10"/>
      <c r="I5" s="10"/>
    </row>
    <row r="6" spans="1:15" ht="180.75" customHeight="1" x14ac:dyDescent="0.25">
      <c r="A6" s="11" t="s">
        <v>21</v>
      </c>
      <c r="B6" s="11" t="s">
        <v>22</v>
      </c>
      <c r="C6" s="11" t="s">
        <v>0</v>
      </c>
      <c r="D6" s="11" t="s">
        <v>1</v>
      </c>
      <c r="E6" s="11" t="s">
        <v>2</v>
      </c>
      <c r="F6" s="12" t="s">
        <v>23</v>
      </c>
      <c r="G6" s="11" t="s">
        <v>17</v>
      </c>
      <c r="H6" s="11" t="s">
        <v>24</v>
      </c>
      <c r="I6" s="11" t="s">
        <v>25</v>
      </c>
      <c r="J6" s="11" t="s">
        <v>16</v>
      </c>
      <c r="K6" s="11" t="s">
        <v>49</v>
      </c>
      <c r="L6" s="11" t="s">
        <v>18</v>
      </c>
      <c r="N6" s="6"/>
    </row>
    <row r="7" spans="1:15" s="9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3" t="s">
        <v>52</v>
      </c>
      <c r="H7" s="13">
        <v>8</v>
      </c>
      <c r="I7" s="13" t="s">
        <v>53</v>
      </c>
      <c r="J7" s="13">
        <v>10</v>
      </c>
      <c r="K7" s="13">
        <v>11</v>
      </c>
      <c r="L7" s="14">
        <v>12</v>
      </c>
    </row>
    <row r="8" spans="1:15" ht="42.75" x14ac:dyDescent="0.25">
      <c r="A8" s="15" t="s">
        <v>31</v>
      </c>
      <c r="B8" s="16">
        <v>528004</v>
      </c>
      <c r="C8" s="17">
        <v>146.39368000000002</v>
      </c>
      <c r="D8" s="53">
        <v>1</v>
      </c>
      <c r="E8" s="50">
        <v>0.97191819999999995</v>
      </c>
      <c r="F8" s="17">
        <f>F9+F10+F11+F12+F13+F14</f>
        <v>0</v>
      </c>
      <c r="G8" s="17">
        <f>SUM(G9:G14)</f>
        <v>75125822.609999999</v>
      </c>
      <c r="H8" s="17">
        <f>SUM(H9:H14)</f>
        <v>0</v>
      </c>
      <c r="I8" s="17">
        <f>SUM(I9:I14)</f>
        <v>75125822.609999999</v>
      </c>
      <c r="J8" s="19">
        <f>L8/I8</f>
        <v>0.99030795823987317</v>
      </c>
      <c r="K8" s="19" t="s">
        <v>56</v>
      </c>
      <c r="L8" s="17">
        <v>74397700</v>
      </c>
      <c r="M8" s="47">
        <f t="shared" ref="M8:M39" si="0">ROUND((G8-F8)/(B8*C8),7)</f>
        <v>0.97191819999999995</v>
      </c>
      <c r="O8" s="4">
        <f t="shared" ref="O8:O39" si="1">(B8*C8*D8*E8)+F8</f>
        <v>75125825.204011172</v>
      </c>
    </row>
    <row r="9" spans="1:15" x14ac:dyDescent="0.25">
      <c r="A9" s="20" t="s">
        <v>4</v>
      </c>
      <c r="B9" s="21">
        <v>27066</v>
      </c>
      <c r="C9" s="22">
        <v>146.39368000000002</v>
      </c>
      <c r="D9" s="53">
        <v>1</v>
      </c>
      <c r="E9" s="23">
        <v>1.6318645000000001</v>
      </c>
      <c r="F9" s="24">
        <v>0</v>
      </c>
      <c r="G9" s="22">
        <v>6465922.5</v>
      </c>
      <c r="H9" s="22">
        <v>0</v>
      </c>
      <c r="I9" s="22">
        <f>G9-H9</f>
        <v>6465922.5</v>
      </c>
      <c r="J9" s="28">
        <v>0.99030795823987317</v>
      </c>
      <c r="K9" s="28">
        <f t="shared" ref="K9:K14" si="2">ROUND(L9/I9/J9,7)</f>
        <v>0.99949169999999998</v>
      </c>
      <c r="L9" s="24">
        <v>6400000</v>
      </c>
      <c r="M9" s="47">
        <f t="shared" si="0"/>
        <v>1.6318645000000001</v>
      </c>
      <c r="N9" s="25"/>
      <c r="O9" s="4">
        <f t="shared" si="1"/>
        <v>6465922.5811032001</v>
      </c>
    </row>
    <row r="10" spans="1:15" x14ac:dyDescent="0.25">
      <c r="A10" s="26" t="s">
        <v>5</v>
      </c>
      <c r="B10" s="27">
        <v>145905</v>
      </c>
      <c r="C10" s="22">
        <v>146.39368000000002</v>
      </c>
      <c r="D10" s="53">
        <v>1</v>
      </c>
      <c r="E10" s="23">
        <v>0.72505529999999996</v>
      </c>
      <c r="F10" s="24">
        <v>0</v>
      </c>
      <c r="G10" s="22">
        <v>15486868.35</v>
      </c>
      <c r="H10" s="22">
        <v>0</v>
      </c>
      <c r="I10" s="22">
        <f>G10-H10</f>
        <v>15486868.35</v>
      </c>
      <c r="J10" s="28">
        <v>0.99030795823987317</v>
      </c>
      <c r="K10" s="28">
        <f t="shared" si="2"/>
        <v>1.0027535999999999</v>
      </c>
      <c r="L10" s="24">
        <v>15379000</v>
      </c>
      <c r="M10" s="47">
        <f t="shared" si="0"/>
        <v>0.72505529999999996</v>
      </c>
      <c r="N10" s="25"/>
      <c r="O10" s="4">
        <f t="shared" si="1"/>
        <v>15486869.347504387</v>
      </c>
    </row>
    <row r="11" spans="1:15" ht="26.25" x14ac:dyDescent="0.25">
      <c r="A11" s="26" t="s">
        <v>6</v>
      </c>
      <c r="B11" s="46">
        <v>71300</v>
      </c>
      <c r="C11" s="22">
        <v>146.39368000000002</v>
      </c>
      <c r="D11" s="53">
        <v>1</v>
      </c>
      <c r="E11" s="23">
        <v>1.9241188</v>
      </c>
      <c r="F11" s="24">
        <v>0</v>
      </c>
      <c r="G11" s="22">
        <v>20083701.120000001</v>
      </c>
      <c r="H11" s="22">
        <v>0</v>
      </c>
      <c r="I11" s="22">
        <f>G11-H11</f>
        <v>20083701.120000001</v>
      </c>
      <c r="J11" s="28">
        <v>0.99030795823987317</v>
      </c>
      <c r="K11" s="28">
        <f t="shared" si="2"/>
        <v>0.99386350000000001</v>
      </c>
      <c r="L11" s="24">
        <v>19767000</v>
      </c>
      <c r="M11" s="47">
        <f t="shared" si="0"/>
        <v>1.9241188</v>
      </c>
      <c r="N11" s="25"/>
      <c r="O11" s="4">
        <f t="shared" si="1"/>
        <v>20083700.713698823</v>
      </c>
    </row>
    <row r="12" spans="1:15" x14ac:dyDescent="0.25">
      <c r="A12" s="20" t="s">
        <v>7</v>
      </c>
      <c r="B12" s="21">
        <v>84760</v>
      </c>
      <c r="C12" s="22">
        <v>146.39368000000002</v>
      </c>
      <c r="D12" s="53">
        <v>1</v>
      </c>
      <c r="E12" s="23">
        <v>0.70039649999999998</v>
      </c>
      <c r="F12" s="24">
        <v>0</v>
      </c>
      <c r="G12" s="22">
        <v>8690749.7300000004</v>
      </c>
      <c r="H12" s="22">
        <v>0</v>
      </c>
      <c r="I12" s="22">
        <f t="shared" ref="I12:I14" si="3">G12-H12</f>
        <v>8690749.7300000004</v>
      </c>
      <c r="J12" s="28">
        <v>0.99030795823987317</v>
      </c>
      <c r="K12" s="28">
        <f t="shared" si="2"/>
        <v>0.99968409999999996</v>
      </c>
      <c r="L12" s="24">
        <v>8603800</v>
      </c>
      <c r="M12" s="47">
        <f t="shared" si="0"/>
        <v>0.70039649999999998</v>
      </c>
      <c r="N12" s="25"/>
      <c r="O12" s="4">
        <f t="shared" si="1"/>
        <v>8690749.723937612</v>
      </c>
    </row>
    <row r="13" spans="1:15" x14ac:dyDescent="0.25">
      <c r="A13" s="20" t="s">
        <v>8</v>
      </c>
      <c r="B13" s="48">
        <v>88226</v>
      </c>
      <c r="C13" s="22">
        <v>146.39368000000002</v>
      </c>
      <c r="D13" s="53">
        <v>1</v>
      </c>
      <c r="E13" s="23">
        <v>1.1003077000000001</v>
      </c>
      <c r="F13" s="24">
        <v>0</v>
      </c>
      <c r="G13" s="22">
        <v>14211276.27</v>
      </c>
      <c r="H13" s="22">
        <v>0</v>
      </c>
      <c r="I13" s="22">
        <f t="shared" si="3"/>
        <v>14211276.27</v>
      </c>
      <c r="J13" s="28">
        <v>0.99030795823987317</v>
      </c>
      <c r="K13" s="28">
        <f t="shared" si="2"/>
        <v>1.0053547</v>
      </c>
      <c r="L13" s="24">
        <v>14148900</v>
      </c>
      <c r="M13" s="47">
        <f t="shared" si="0"/>
        <v>1.1003077000000001</v>
      </c>
      <c r="N13" s="25"/>
      <c r="O13" s="4">
        <f t="shared" si="1"/>
        <v>14211275.862603357</v>
      </c>
    </row>
    <row r="14" spans="1:15" x14ac:dyDescent="0.25">
      <c r="A14" s="20" t="s">
        <v>9</v>
      </c>
      <c r="B14" s="21">
        <v>110747</v>
      </c>
      <c r="C14" s="22">
        <v>146.39368000000002</v>
      </c>
      <c r="D14" s="53">
        <v>1</v>
      </c>
      <c r="E14" s="23">
        <v>0.62835490000000005</v>
      </c>
      <c r="F14" s="24">
        <v>0</v>
      </c>
      <c r="G14" s="22">
        <v>10187304.640000001</v>
      </c>
      <c r="H14" s="22">
        <v>0</v>
      </c>
      <c r="I14" s="22">
        <f t="shared" si="3"/>
        <v>10187304.640000001</v>
      </c>
      <c r="J14" s="28">
        <v>0.99030795823987317</v>
      </c>
      <c r="K14" s="28">
        <f t="shared" si="2"/>
        <v>1.001034</v>
      </c>
      <c r="L14" s="24">
        <v>10099000</v>
      </c>
      <c r="M14" s="47">
        <f t="shared" si="0"/>
        <v>0.62835490000000005</v>
      </c>
      <c r="O14" s="4">
        <f t="shared" si="1"/>
        <v>10187304.905332824</v>
      </c>
    </row>
    <row r="15" spans="1:15" ht="57" x14ac:dyDescent="0.25">
      <c r="A15" s="15" t="s">
        <v>32</v>
      </c>
      <c r="B15" s="16">
        <v>586888</v>
      </c>
      <c r="C15" s="17">
        <v>186.60756800000001</v>
      </c>
      <c r="D15" s="53">
        <v>1</v>
      </c>
      <c r="E15" s="18">
        <v>0.51555720000000005</v>
      </c>
      <c r="F15" s="17">
        <f>F16+F17+F18+F19+F20</f>
        <v>53969.51</v>
      </c>
      <c r="G15" s="17">
        <f>SUM(G16:G20)</f>
        <v>56516627.939999998</v>
      </c>
      <c r="H15" s="17">
        <f>SUM(H16:H20)</f>
        <v>5836.8</v>
      </c>
      <c r="I15" s="17">
        <f>SUM(I16:I20)</f>
        <v>56510791.140000001</v>
      </c>
      <c r="J15" s="19">
        <f t="shared" ref="J15:J76" si="4">L15/I15</f>
        <v>0.93543490515004668</v>
      </c>
      <c r="K15" s="19" t="s">
        <v>56</v>
      </c>
      <c r="L15" s="17">
        <v>52862166.549999997</v>
      </c>
      <c r="M15" s="47">
        <f t="shared" si="0"/>
        <v>0.51555720000000005</v>
      </c>
      <c r="O15" s="4">
        <f t="shared" si="1"/>
        <v>56516630.11576543</v>
      </c>
    </row>
    <row r="16" spans="1:15" x14ac:dyDescent="0.25">
      <c r="A16" s="26" t="s">
        <v>5</v>
      </c>
      <c r="B16" s="21">
        <v>6653</v>
      </c>
      <c r="C16" s="22">
        <v>186.60756800000001</v>
      </c>
      <c r="D16" s="53">
        <v>1</v>
      </c>
      <c r="E16" s="23">
        <v>0.59353049999999996</v>
      </c>
      <c r="F16" s="22"/>
      <c r="G16" s="22">
        <v>736868.24</v>
      </c>
      <c r="H16" s="22"/>
      <c r="I16" s="22">
        <f>G16-H16</f>
        <v>736868.24</v>
      </c>
      <c r="J16" s="28">
        <v>0.93543490515004668</v>
      </c>
      <c r="K16" s="28">
        <f>ROUND(L16/I16/J16,7)</f>
        <v>1.0410359</v>
      </c>
      <c r="L16" s="24">
        <v>717578</v>
      </c>
      <c r="M16" s="47">
        <f t="shared" si="0"/>
        <v>0.59353049999999996</v>
      </c>
      <c r="O16" s="4">
        <f t="shared" si="1"/>
        <v>736868.2047225961</v>
      </c>
    </row>
    <row r="17" spans="1:15" x14ac:dyDescent="0.25">
      <c r="A17" s="20" t="s">
        <v>7</v>
      </c>
      <c r="B17" s="21">
        <v>84020</v>
      </c>
      <c r="C17" s="22">
        <v>186.60756800000001</v>
      </c>
      <c r="D17" s="53">
        <v>1</v>
      </c>
      <c r="E17" s="23">
        <v>0.53517349999999997</v>
      </c>
      <c r="F17" s="22"/>
      <c r="G17" s="22">
        <v>8390860.3200000003</v>
      </c>
      <c r="H17" s="22"/>
      <c r="I17" s="22">
        <f>G17-H17</f>
        <v>8390860.3200000003</v>
      </c>
      <c r="J17" s="28">
        <v>0.93543490515004668</v>
      </c>
      <c r="K17" s="28">
        <f>ROUND(L17/I17/J17,7)</f>
        <v>0.98592400000000002</v>
      </c>
      <c r="L17" s="24">
        <v>7738620</v>
      </c>
      <c r="M17" s="47">
        <f t="shared" si="0"/>
        <v>0.53517349999999997</v>
      </c>
      <c r="O17" s="4">
        <f t="shared" si="1"/>
        <v>8390861.0731218923</v>
      </c>
    </row>
    <row r="18" spans="1:15" x14ac:dyDescent="0.25">
      <c r="A18" s="20" t="s">
        <v>8</v>
      </c>
      <c r="B18" s="21">
        <v>86230</v>
      </c>
      <c r="C18" s="22">
        <v>186.60756800000001</v>
      </c>
      <c r="D18" s="53">
        <v>1</v>
      </c>
      <c r="E18" s="23">
        <v>0.88316050000000001</v>
      </c>
      <c r="F18" s="22"/>
      <c r="G18" s="22">
        <v>14211085.66</v>
      </c>
      <c r="H18" s="22"/>
      <c r="I18" s="22">
        <f>G18-H18</f>
        <v>14211085.66</v>
      </c>
      <c r="J18" s="28">
        <v>0.93543490515004668</v>
      </c>
      <c r="K18" s="28">
        <f>ROUND(L18/I18/J18,7)</f>
        <v>1.0543117</v>
      </c>
      <c r="L18" s="24">
        <v>14015540</v>
      </c>
      <c r="M18" s="47">
        <f t="shared" si="0"/>
        <v>0.88316050000000001</v>
      </c>
      <c r="O18" s="4">
        <f t="shared" si="1"/>
        <v>14211086.262648597</v>
      </c>
    </row>
    <row r="19" spans="1:15" x14ac:dyDescent="0.25">
      <c r="A19" s="20" t="s">
        <v>9</v>
      </c>
      <c r="B19" s="21">
        <v>69150</v>
      </c>
      <c r="C19" s="22">
        <v>186.60756800000001</v>
      </c>
      <c r="D19" s="53">
        <v>1</v>
      </c>
      <c r="E19" s="23">
        <v>0.500004</v>
      </c>
      <c r="F19" s="22"/>
      <c r="G19" s="22">
        <v>6452007.9400000004</v>
      </c>
      <c r="H19" s="22"/>
      <c r="I19" s="22">
        <f>G19-H19</f>
        <v>6452007.9400000004</v>
      </c>
      <c r="J19" s="28">
        <v>0.93543490515004668</v>
      </c>
      <c r="K19" s="28">
        <f>ROUND(L19/I19/J19,7)</f>
        <v>1.0110673999999999</v>
      </c>
      <c r="L19" s="24">
        <v>6102230</v>
      </c>
      <c r="M19" s="47">
        <f t="shared" si="0"/>
        <v>0.500004</v>
      </c>
      <c r="O19" s="4">
        <f t="shared" si="1"/>
        <v>6452008.2792533096</v>
      </c>
    </row>
    <row r="20" spans="1:15" x14ac:dyDescent="0.25">
      <c r="A20" s="20" t="s">
        <v>10</v>
      </c>
      <c r="B20" s="21">
        <v>340835</v>
      </c>
      <c r="C20" s="22">
        <v>186.60756800000001</v>
      </c>
      <c r="D20" s="53">
        <v>1</v>
      </c>
      <c r="E20" s="23">
        <v>0.41935270000000002</v>
      </c>
      <c r="F20" s="22">
        <f>'Приложение № 1 2026г'!F20</f>
        <v>53969.51</v>
      </c>
      <c r="G20" s="22">
        <f>26719968.98-48132.71+F20</f>
        <v>26725805.780000001</v>
      </c>
      <c r="H20" s="22">
        <f>'Приложение № 1 2026г'!H20</f>
        <v>5836.8</v>
      </c>
      <c r="I20" s="22">
        <f>G20-H20</f>
        <v>26719968.98</v>
      </c>
      <c r="J20" s="28">
        <v>0.93543490515004668</v>
      </c>
      <c r="K20" s="28">
        <f>ROUND(L20/I20/J20,7)</f>
        <v>0.97173039999999999</v>
      </c>
      <c r="L20" s="24">
        <v>24288198.550000001</v>
      </c>
      <c r="M20" s="47">
        <f t="shared" si="0"/>
        <v>0.41935270000000002</v>
      </c>
      <c r="N20" s="25"/>
      <c r="O20" s="4">
        <f t="shared" si="1"/>
        <v>26725803.667166259</v>
      </c>
    </row>
    <row r="21" spans="1:15" ht="72" customHeight="1" x14ac:dyDescent="0.25">
      <c r="A21" s="15" t="s">
        <v>33</v>
      </c>
      <c r="B21" s="16">
        <v>33348</v>
      </c>
      <c r="C21" s="17">
        <v>186.60756800000001</v>
      </c>
      <c r="D21" s="53">
        <v>1</v>
      </c>
      <c r="E21" s="30">
        <v>0.59240420000000005</v>
      </c>
      <c r="F21" s="29">
        <f>F22</f>
        <v>0</v>
      </c>
      <c r="G21" s="29">
        <f t="shared" ref="G21:I21" si="5">G22</f>
        <v>3686525.06</v>
      </c>
      <c r="H21" s="29">
        <f t="shared" si="5"/>
        <v>0</v>
      </c>
      <c r="I21" s="29">
        <f t="shared" si="5"/>
        <v>3686525.06</v>
      </c>
      <c r="J21" s="19">
        <f t="shared" si="4"/>
        <v>0.9738276402765047</v>
      </c>
      <c r="K21" s="19" t="s">
        <v>56</v>
      </c>
      <c r="L21" s="29">
        <v>3590040</v>
      </c>
      <c r="M21" s="47">
        <f t="shared" si="0"/>
        <v>0.59240420000000005</v>
      </c>
      <c r="O21" s="4">
        <f t="shared" si="1"/>
        <v>3686524.9254027004</v>
      </c>
    </row>
    <row r="22" spans="1:15" x14ac:dyDescent="0.25">
      <c r="A22" s="26" t="s">
        <v>5</v>
      </c>
      <c r="B22" s="21">
        <v>33348</v>
      </c>
      <c r="C22" s="22">
        <v>186.60756800000001</v>
      </c>
      <c r="D22" s="53">
        <v>1</v>
      </c>
      <c r="E22" s="23">
        <v>0.59240420000000005</v>
      </c>
      <c r="F22" s="22"/>
      <c r="G22" s="22">
        <v>3686525.06</v>
      </c>
      <c r="H22" s="22">
        <v>0</v>
      </c>
      <c r="I22" s="22">
        <f>G22-H22</f>
        <v>3686525.06</v>
      </c>
      <c r="J22" s="28">
        <v>0.9738276402765047</v>
      </c>
      <c r="K22" s="28">
        <f>ROUND(L22/I22/J22,7)</f>
        <v>1</v>
      </c>
      <c r="L22" s="24">
        <v>3590040</v>
      </c>
      <c r="M22" s="47">
        <f t="shared" si="0"/>
        <v>0.59240420000000005</v>
      </c>
      <c r="O22" s="4">
        <f t="shared" si="1"/>
        <v>3686524.9254027004</v>
      </c>
    </row>
    <row r="23" spans="1:15" ht="57" x14ac:dyDescent="0.25">
      <c r="A23" s="15" t="s">
        <v>34</v>
      </c>
      <c r="B23" s="16">
        <v>227053</v>
      </c>
      <c r="C23" s="17">
        <v>186.60756800000001</v>
      </c>
      <c r="D23" s="53">
        <v>1</v>
      </c>
      <c r="E23" s="18">
        <v>1.8028033000000001</v>
      </c>
      <c r="F23" s="17">
        <f>F24+F25+F26+F27+F28+F29</f>
        <v>840864.10000000009</v>
      </c>
      <c r="G23" s="17">
        <f>SUM(G24:G29)</f>
        <v>77225292.910000011</v>
      </c>
      <c r="H23" s="17">
        <f>SUM(H24:H29)</f>
        <v>14524.73</v>
      </c>
      <c r="I23" s="17">
        <f>I24+I25+I26+I27+I28+I29</f>
        <v>77210768.180000007</v>
      </c>
      <c r="J23" s="19">
        <f t="shared" si="4"/>
        <v>0.87574729903431958</v>
      </c>
      <c r="K23" s="19" t="s">
        <v>56</v>
      </c>
      <c r="L23" s="31">
        <v>67617121.689999998</v>
      </c>
      <c r="M23" s="47">
        <f t="shared" si="0"/>
        <v>1.8028033000000001</v>
      </c>
      <c r="O23" s="4">
        <f t="shared" si="1"/>
        <v>77225294.029937953</v>
      </c>
    </row>
    <row r="24" spans="1:15" x14ac:dyDescent="0.25">
      <c r="A24" s="20" t="s">
        <v>4</v>
      </c>
      <c r="B24" s="21">
        <v>85995</v>
      </c>
      <c r="C24" s="22">
        <v>186.60756800000001</v>
      </c>
      <c r="D24" s="53">
        <v>1</v>
      </c>
      <c r="E24" s="23">
        <v>1.8037723000000001</v>
      </c>
      <c r="F24" s="22">
        <f>'Приложение № 1 2026г'!F24</f>
        <v>94450.13</v>
      </c>
      <c r="G24" s="22">
        <f>29037934.98-92227.72+F24</f>
        <v>29040157.390000001</v>
      </c>
      <c r="H24" s="22">
        <f>'Приложение № 1 2026г'!H24</f>
        <v>2222.41</v>
      </c>
      <c r="I24" s="22">
        <f>G24-H24</f>
        <v>29037934.98</v>
      </c>
      <c r="J24" s="28">
        <v>0.87574729903431958</v>
      </c>
      <c r="K24" s="28">
        <f t="shared" ref="K24:K29" si="6">ROUND(L24/I24/J24,7)</f>
        <v>1.0501316999999999</v>
      </c>
      <c r="L24" s="32">
        <v>26704737.02</v>
      </c>
      <c r="M24" s="47">
        <f t="shared" si="0"/>
        <v>1.8037723000000001</v>
      </c>
      <c r="N24" s="33"/>
      <c r="O24" s="4">
        <f t="shared" si="1"/>
        <v>29040157.485263269</v>
      </c>
    </row>
    <row r="25" spans="1:15" x14ac:dyDescent="0.25">
      <c r="A25" s="26" t="s">
        <v>5</v>
      </c>
      <c r="B25" s="21">
        <v>23046</v>
      </c>
      <c r="C25" s="22">
        <v>186.60756800000001</v>
      </c>
      <c r="D25" s="53">
        <v>1</v>
      </c>
      <c r="E25" s="23">
        <v>2.0308350000000002</v>
      </c>
      <c r="F25" s="22">
        <f>'Приложение № 1 2026г'!F25</f>
        <v>91757.32</v>
      </c>
      <c r="G25" s="22">
        <f>8823700.94-89977.23+F25</f>
        <v>8825481.0299999993</v>
      </c>
      <c r="H25" s="22">
        <f>'Приложение № 1 2026г'!H25</f>
        <v>1780.09</v>
      </c>
      <c r="I25" s="22">
        <f t="shared" ref="I25:I29" si="7">G25-H25</f>
        <v>8823700.9399999995</v>
      </c>
      <c r="J25" s="28">
        <v>0.87574729903431958</v>
      </c>
      <c r="K25" s="28">
        <f t="shared" si="6"/>
        <v>1.0499791000000001</v>
      </c>
      <c r="L25" s="32">
        <v>8113537.4199999999</v>
      </c>
      <c r="M25" s="47">
        <f t="shared" si="0"/>
        <v>2.0308350000000002</v>
      </c>
      <c r="N25" s="33"/>
      <c r="O25" s="4">
        <f t="shared" si="1"/>
        <v>8825481.0505599678</v>
      </c>
    </row>
    <row r="26" spans="1:15" ht="26.25" x14ac:dyDescent="0.25">
      <c r="A26" s="26" t="s">
        <v>6</v>
      </c>
      <c r="B26" s="21">
        <v>37500</v>
      </c>
      <c r="C26" s="22">
        <v>186.60756800000001</v>
      </c>
      <c r="D26" s="53">
        <v>1</v>
      </c>
      <c r="E26" s="23">
        <v>2.8157945</v>
      </c>
      <c r="F26" s="22">
        <f>'Приложение № 1 2026г'!F26</f>
        <v>519929.88</v>
      </c>
      <c r="G26" s="22">
        <f>20215656.42-511335.44+F26</f>
        <v>20224250.859999999</v>
      </c>
      <c r="H26" s="22">
        <f>'Приложение № 1 2026г'!H26</f>
        <v>8594.44</v>
      </c>
      <c r="I26" s="22">
        <f t="shared" si="7"/>
        <v>20215656.419999998</v>
      </c>
      <c r="J26" s="28">
        <v>0.87574729903431958</v>
      </c>
      <c r="K26" s="28">
        <f t="shared" si="6"/>
        <v>0.89789549999999996</v>
      </c>
      <c r="L26" s="32">
        <v>15896168.189999999</v>
      </c>
      <c r="M26" s="47">
        <f t="shared" si="0"/>
        <v>2.8157945</v>
      </c>
      <c r="N26" s="33"/>
      <c r="O26" s="4">
        <f t="shared" si="1"/>
        <v>20224251.016229101</v>
      </c>
    </row>
    <row r="27" spans="1:15" x14ac:dyDescent="0.25">
      <c r="A27" s="20" t="s">
        <v>7</v>
      </c>
      <c r="B27" s="21">
        <v>21146</v>
      </c>
      <c r="C27" s="22">
        <v>186.60756800000001</v>
      </c>
      <c r="D27" s="53">
        <v>1</v>
      </c>
      <c r="E27" s="23">
        <v>1.2745976000000001</v>
      </c>
      <c r="F27" s="22">
        <f>'Приложение № 1 2026г'!F27</f>
        <v>28785.22</v>
      </c>
      <c r="G27" s="22">
        <f>5058090.37-28523.56+F27</f>
        <v>5058352.03</v>
      </c>
      <c r="H27" s="22">
        <f>'Приложение № 1 2026г'!H27</f>
        <v>261.66000000000003</v>
      </c>
      <c r="I27" s="22">
        <f t="shared" si="7"/>
        <v>5058090.37</v>
      </c>
      <c r="J27" s="28">
        <v>0.87574729903431958</v>
      </c>
      <c r="K27" s="28">
        <f t="shared" si="6"/>
        <v>0.92559020000000003</v>
      </c>
      <c r="L27" s="32">
        <v>4100002.5</v>
      </c>
      <c r="M27" s="47">
        <f t="shared" si="0"/>
        <v>1.2745976000000001</v>
      </c>
      <c r="N27" s="33"/>
      <c r="O27" s="4">
        <f t="shared" si="1"/>
        <v>5058351.9801213099</v>
      </c>
    </row>
    <row r="28" spans="1:15" x14ac:dyDescent="0.25">
      <c r="A28" s="20" t="s">
        <v>8</v>
      </c>
      <c r="B28" s="21">
        <v>32577</v>
      </c>
      <c r="C28" s="22">
        <v>186.60756800000001</v>
      </c>
      <c r="D28" s="53">
        <v>1</v>
      </c>
      <c r="E28" s="23">
        <v>1.3898946000000001</v>
      </c>
      <c r="F28" s="22">
        <f>'Приложение № 1 2026г'!F28</f>
        <v>53725.63</v>
      </c>
      <c r="G28" s="22">
        <f>8502983.02-53654.17+F28</f>
        <v>8503054.4800000004</v>
      </c>
      <c r="H28" s="22">
        <f>'Приложение № 1 2026г'!H28</f>
        <v>71.459999999999994</v>
      </c>
      <c r="I28" s="22">
        <f t="shared" si="7"/>
        <v>8502983.0199999996</v>
      </c>
      <c r="J28" s="28">
        <v>0.87574729903431958</v>
      </c>
      <c r="K28" s="28">
        <f t="shared" si="6"/>
        <v>1.0860225999999999</v>
      </c>
      <c r="L28" s="32">
        <v>8087028.9900000002</v>
      </c>
      <c r="M28" s="47">
        <f t="shared" si="0"/>
        <v>1.3898946000000001</v>
      </c>
      <c r="N28" s="33"/>
      <c r="O28" s="4">
        <f t="shared" si="1"/>
        <v>8503054.3837091569</v>
      </c>
    </row>
    <row r="29" spans="1:15" x14ac:dyDescent="0.25">
      <c r="A29" s="34" t="s">
        <v>9</v>
      </c>
      <c r="B29" s="21">
        <v>26789</v>
      </c>
      <c r="C29" s="22">
        <v>186.60756800000001</v>
      </c>
      <c r="D29" s="53">
        <v>1</v>
      </c>
      <c r="E29" s="23">
        <v>1.1045704999999999</v>
      </c>
      <c r="F29" s="22">
        <f>'Приложение № 1 2026г'!F29</f>
        <v>52215.92</v>
      </c>
      <c r="G29" s="22">
        <f>5572402.45-50621.25+F29</f>
        <v>5573997.1200000001</v>
      </c>
      <c r="H29" s="22">
        <f>'Приложение № 1 2026г'!H29</f>
        <v>1594.67</v>
      </c>
      <c r="I29" s="22">
        <f t="shared" si="7"/>
        <v>5572402.4500000002</v>
      </c>
      <c r="J29" s="28">
        <v>0.87574729903431958</v>
      </c>
      <c r="K29" s="28">
        <f t="shared" si="6"/>
        <v>0.96631800000000001</v>
      </c>
      <c r="L29" s="32">
        <v>4715647.57</v>
      </c>
      <c r="M29" s="47">
        <f t="shared" si="0"/>
        <v>1.1045704999999999</v>
      </c>
      <c r="N29" s="33"/>
      <c r="O29" s="4">
        <f t="shared" si="1"/>
        <v>5573997.1403181944</v>
      </c>
    </row>
    <row r="30" spans="1:15" ht="71.25" x14ac:dyDescent="0.25">
      <c r="A30" s="15" t="s">
        <v>35</v>
      </c>
      <c r="B30" s="16">
        <v>42112</v>
      </c>
      <c r="C30" s="17">
        <v>186.60756800000001</v>
      </c>
      <c r="D30" s="53">
        <v>1</v>
      </c>
      <c r="E30" s="18">
        <v>1.0669949999999999</v>
      </c>
      <c r="F30" s="17">
        <f>F31+F32+F33+F34+F35</f>
        <v>0</v>
      </c>
      <c r="G30" s="17">
        <f>SUM(G31:G35)</f>
        <v>8384892.9400000004</v>
      </c>
      <c r="H30" s="17">
        <f>SUM(H31:H35)</f>
        <v>0</v>
      </c>
      <c r="I30" s="17">
        <f>SUM(I31:I35)</f>
        <v>8384892.9400000004</v>
      </c>
      <c r="J30" s="19">
        <f t="shared" si="4"/>
        <v>0.93449016654946104</v>
      </c>
      <c r="K30" s="19" t="s">
        <v>56</v>
      </c>
      <c r="L30" s="17">
        <v>7835600</v>
      </c>
      <c r="M30" s="47">
        <f t="shared" si="0"/>
        <v>1.0669949999999999</v>
      </c>
      <c r="O30" s="4">
        <f t="shared" si="1"/>
        <v>8384892.6110687545</v>
      </c>
    </row>
    <row r="31" spans="1:15" x14ac:dyDescent="0.25">
      <c r="A31" s="20" t="s">
        <v>4</v>
      </c>
      <c r="B31" s="21">
        <v>16590</v>
      </c>
      <c r="C31" s="22">
        <v>186.60756800000001</v>
      </c>
      <c r="D31" s="53">
        <v>1</v>
      </c>
      <c r="E31" s="23">
        <v>1.3290719</v>
      </c>
      <c r="F31" s="22">
        <v>0</v>
      </c>
      <c r="G31" s="22">
        <v>4114566.72</v>
      </c>
      <c r="H31" s="22">
        <v>0</v>
      </c>
      <c r="I31" s="22">
        <f t="shared" ref="I31:I35" si="8">G31-H31</f>
        <v>4114566.72</v>
      </c>
      <c r="J31" s="28">
        <v>0.93449016654946104</v>
      </c>
      <c r="K31" s="28">
        <f>ROUND(L31/I31/J31,7)</f>
        <v>0.99277709999999997</v>
      </c>
      <c r="L31" s="24">
        <v>3817250</v>
      </c>
      <c r="M31" s="47">
        <f t="shared" si="0"/>
        <v>1.3290719</v>
      </c>
      <c r="O31" s="4">
        <f t="shared" si="1"/>
        <v>4114566.7755223494</v>
      </c>
    </row>
    <row r="32" spans="1:15" x14ac:dyDescent="0.25">
      <c r="A32" s="26" t="s">
        <v>5</v>
      </c>
      <c r="B32" s="21">
        <v>10839</v>
      </c>
      <c r="C32" s="22">
        <v>186.60756800000001</v>
      </c>
      <c r="D32" s="53">
        <v>1</v>
      </c>
      <c r="E32" s="23">
        <v>0.5466995</v>
      </c>
      <c r="F32" s="22">
        <v>0</v>
      </c>
      <c r="G32" s="22">
        <v>1105775.8999999999</v>
      </c>
      <c r="H32" s="22">
        <v>0</v>
      </c>
      <c r="I32" s="22">
        <f t="shared" si="8"/>
        <v>1105775.8999999999</v>
      </c>
      <c r="J32" s="28">
        <v>0.93449016654946104</v>
      </c>
      <c r="K32" s="28">
        <f>ROUND(L32/I32/J32,7)</f>
        <v>1.0420901</v>
      </c>
      <c r="L32" s="24">
        <v>1076830</v>
      </c>
      <c r="M32" s="47">
        <f t="shared" si="0"/>
        <v>0.5466995</v>
      </c>
      <c r="O32" s="4">
        <f t="shared" si="1"/>
        <v>1105775.9648163638</v>
      </c>
    </row>
    <row r="33" spans="1:15" x14ac:dyDescent="0.25">
      <c r="A33" s="20" t="s">
        <v>8</v>
      </c>
      <c r="B33" s="21">
        <v>8883</v>
      </c>
      <c r="C33" s="22">
        <v>186.60756800000001</v>
      </c>
      <c r="D33" s="53">
        <v>1</v>
      </c>
      <c r="E33" s="49">
        <v>0.92676619999999998</v>
      </c>
      <c r="F33" s="22">
        <v>0</v>
      </c>
      <c r="G33" s="22">
        <v>1536240.16</v>
      </c>
      <c r="H33" s="22">
        <v>0</v>
      </c>
      <c r="I33" s="22">
        <f t="shared" si="8"/>
        <v>1536240.16</v>
      </c>
      <c r="J33" s="28">
        <v>0.93449016654946104</v>
      </c>
      <c r="K33" s="28">
        <f>ROUND(L33/I33/J33,7)</f>
        <v>1.0553766</v>
      </c>
      <c r="L33" s="24">
        <v>1515100</v>
      </c>
      <c r="M33" s="47">
        <f t="shared" si="0"/>
        <v>0.92676619999999998</v>
      </c>
      <c r="O33" s="4">
        <f t="shared" si="1"/>
        <v>1536240.1145370819</v>
      </c>
    </row>
    <row r="34" spans="1:15" x14ac:dyDescent="0.25">
      <c r="A34" s="20" t="s">
        <v>9</v>
      </c>
      <c r="B34" s="21">
        <v>0</v>
      </c>
      <c r="C34" s="22">
        <v>186.60756800000001</v>
      </c>
      <c r="D34" s="53">
        <v>1</v>
      </c>
      <c r="E34" s="23" t="e">
        <v>#DIV/0!</v>
      </c>
      <c r="F34" s="22">
        <v>0</v>
      </c>
      <c r="G34" s="22">
        <v>0</v>
      </c>
      <c r="H34" s="22">
        <v>0</v>
      </c>
      <c r="I34" s="22">
        <f t="shared" si="8"/>
        <v>0</v>
      </c>
      <c r="J34" s="28"/>
      <c r="K34" s="28">
        <v>0</v>
      </c>
      <c r="L34" s="24">
        <v>0</v>
      </c>
      <c r="M34" s="47" t="e">
        <f t="shared" si="0"/>
        <v>#DIV/0!</v>
      </c>
      <c r="O34" s="4" t="e">
        <f t="shared" si="1"/>
        <v>#DIV/0!</v>
      </c>
    </row>
    <row r="35" spans="1:15" ht="26.25" x14ac:dyDescent="0.25">
      <c r="A35" s="26" t="s">
        <v>6</v>
      </c>
      <c r="B35" s="21">
        <v>5800</v>
      </c>
      <c r="C35" s="22">
        <v>186.60756800000001</v>
      </c>
      <c r="D35" s="53">
        <v>1</v>
      </c>
      <c r="E35" s="23">
        <v>1.5044573999999999</v>
      </c>
      <c r="F35" s="22">
        <v>0</v>
      </c>
      <c r="G35" s="22">
        <v>1628310.16</v>
      </c>
      <c r="H35" s="22">
        <v>0</v>
      </c>
      <c r="I35" s="22">
        <f t="shared" si="8"/>
        <v>1628310.16</v>
      </c>
      <c r="J35" s="28">
        <v>0.93449016654946104</v>
      </c>
      <c r="K35" s="28">
        <f>ROUND(L35/I35/J35,7)</f>
        <v>0.93742289999999995</v>
      </c>
      <c r="L35" s="24">
        <v>1426420</v>
      </c>
      <c r="M35" s="47">
        <f t="shared" si="0"/>
        <v>1.5044573999999999</v>
      </c>
      <c r="O35" s="4">
        <f t="shared" si="1"/>
        <v>1628310.1921268986</v>
      </c>
    </row>
    <row r="36" spans="1:15" ht="71.25" x14ac:dyDescent="0.25">
      <c r="A36" s="15" t="s">
        <v>36</v>
      </c>
      <c r="B36" s="16">
        <v>185690</v>
      </c>
      <c r="C36" s="17">
        <v>186.60756800000001</v>
      </c>
      <c r="D36" s="53">
        <v>1</v>
      </c>
      <c r="E36" s="18">
        <v>1.0251749999999999</v>
      </c>
      <c r="F36" s="17">
        <f>F37+F38+F39+F40+F41+F42</f>
        <v>0</v>
      </c>
      <c r="G36" s="17">
        <f>SUM(G37:G42)</f>
        <v>35523501.470000006</v>
      </c>
      <c r="H36" s="17">
        <f>SUM(H37:H42)</f>
        <v>0</v>
      </c>
      <c r="I36" s="17">
        <f>SUM(I37:I42)</f>
        <v>35523501.470000006</v>
      </c>
      <c r="J36" s="19">
        <f t="shared" si="4"/>
        <v>0.92446137461234879</v>
      </c>
      <c r="K36" s="19" t="s">
        <v>56</v>
      </c>
      <c r="L36" s="17">
        <v>32840105</v>
      </c>
      <c r="M36" s="47">
        <f t="shared" si="0"/>
        <v>1.0251749999999999</v>
      </c>
      <c r="O36" s="4">
        <f t="shared" si="1"/>
        <v>35523502.237345837</v>
      </c>
    </row>
    <row r="37" spans="1:15" x14ac:dyDescent="0.25">
      <c r="A37" s="20" t="s">
        <v>4</v>
      </c>
      <c r="B37" s="21">
        <v>76816</v>
      </c>
      <c r="C37" s="22">
        <v>186.60756800000001</v>
      </c>
      <c r="D37" s="53">
        <v>1</v>
      </c>
      <c r="E37" s="23">
        <v>1.2295426</v>
      </c>
      <c r="F37" s="22">
        <v>0</v>
      </c>
      <c r="G37" s="22">
        <v>17624813.440000001</v>
      </c>
      <c r="H37" s="22">
        <v>0</v>
      </c>
      <c r="I37" s="22">
        <f t="shared" ref="I37:I42" si="9">G37-H37</f>
        <v>17624813.440000001</v>
      </c>
      <c r="J37" s="28">
        <v>0.92446137461234879</v>
      </c>
      <c r="K37" s="28">
        <f t="shared" ref="K37:K42" si="10">ROUND(L37/I37/J37,7)</f>
        <v>1.0037402</v>
      </c>
      <c r="L37" s="24">
        <v>16354400</v>
      </c>
      <c r="M37" s="47">
        <f t="shared" si="0"/>
        <v>1.2295426</v>
      </c>
      <c r="O37" s="4">
        <f t="shared" si="1"/>
        <v>17624813.16445829</v>
      </c>
    </row>
    <row r="38" spans="1:15" x14ac:dyDescent="0.25">
      <c r="A38" s="26" t="s">
        <v>5</v>
      </c>
      <c r="B38" s="21">
        <v>17261</v>
      </c>
      <c r="C38" s="22">
        <v>186.60756800000001</v>
      </c>
      <c r="D38" s="53">
        <v>1</v>
      </c>
      <c r="E38" s="23">
        <v>0.5721482</v>
      </c>
      <c r="F38" s="22">
        <v>0</v>
      </c>
      <c r="G38" s="22">
        <v>1842908.45</v>
      </c>
      <c r="H38" s="22">
        <v>0</v>
      </c>
      <c r="I38" s="22">
        <f t="shared" si="9"/>
        <v>1842908.45</v>
      </c>
      <c r="J38" s="28">
        <v>0.92446137461234879</v>
      </c>
      <c r="K38" s="28">
        <f t="shared" si="10"/>
        <v>1.0534174999999999</v>
      </c>
      <c r="L38" s="24">
        <v>1794705</v>
      </c>
      <c r="M38" s="47">
        <f t="shared" si="0"/>
        <v>0.5721482</v>
      </c>
      <c r="O38" s="4">
        <f t="shared" si="1"/>
        <v>1842908.3653987271</v>
      </c>
    </row>
    <row r="39" spans="1:15" ht="26.25" x14ac:dyDescent="0.25">
      <c r="A39" s="26" t="s">
        <v>6</v>
      </c>
      <c r="B39" s="21">
        <v>30800</v>
      </c>
      <c r="C39" s="22">
        <v>186.60756800000001</v>
      </c>
      <c r="D39" s="53">
        <v>1</v>
      </c>
      <c r="E39" s="23">
        <v>1.5109085</v>
      </c>
      <c r="F39" s="22">
        <v>0</v>
      </c>
      <c r="G39" s="22">
        <v>8683966.1400000006</v>
      </c>
      <c r="H39" s="22">
        <v>0</v>
      </c>
      <c r="I39" s="22">
        <f t="shared" si="9"/>
        <v>8683966.1400000006</v>
      </c>
      <c r="J39" s="28">
        <v>0.92446137461234879</v>
      </c>
      <c r="K39" s="28">
        <f t="shared" si="10"/>
        <v>0.947577</v>
      </c>
      <c r="L39" s="24">
        <v>7607140</v>
      </c>
      <c r="M39" s="47">
        <f t="shared" si="0"/>
        <v>1.5109085</v>
      </c>
      <c r="O39" s="4">
        <f t="shared" si="1"/>
        <v>8683966.3881902639</v>
      </c>
    </row>
    <row r="40" spans="1:15" x14ac:dyDescent="0.25">
      <c r="A40" s="20" t="s">
        <v>7</v>
      </c>
      <c r="B40" s="21">
        <v>11956</v>
      </c>
      <c r="C40" s="22">
        <v>186.60756800000001</v>
      </c>
      <c r="D40" s="53">
        <v>1</v>
      </c>
      <c r="E40" s="23">
        <v>0.53722999999999999</v>
      </c>
      <c r="F40" s="22">
        <v>0</v>
      </c>
      <c r="G40" s="22">
        <v>1198603.17</v>
      </c>
      <c r="H40" s="22">
        <v>0</v>
      </c>
      <c r="I40" s="22">
        <f t="shared" si="9"/>
        <v>1198603.17</v>
      </c>
      <c r="J40" s="28">
        <v>0.92446137461234879</v>
      </c>
      <c r="K40" s="28">
        <f t="shared" si="10"/>
        <v>0.99766949999999999</v>
      </c>
      <c r="L40" s="24">
        <v>1105480</v>
      </c>
      <c r="M40" s="47">
        <f t="shared" ref="M40:M76" si="11">ROUND((G40-F40)/(B40*C40),7)</f>
        <v>0.53722999999999999</v>
      </c>
      <c r="O40" s="4">
        <f t="shared" ref="O40:O76" si="12">(B40*C40*D40*E40)+F40</f>
        <v>1198603.1529943878</v>
      </c>
    </row>
    <row r="41" spans="1:15" x14ac:dyDescent="0.25">
      <c r="A41" s="20" t="s">
        <v>8</v>
      </c>
      <c r="B41" s="21">
        <v>20146</v>
      </c>
      <c r="C41" s="22">
        <v>186.60756800000001</v>
      </c>
      <c r="D41" s="53">
        <v>1</v>
      </c>
      <c r="E41" s="23">
        <v>0.91947179999999995</v>
      </c>
      <c r="F41" s="22">
        <v>0</v>
      </c>
      <c r="G41" s="22">
        <v>3456658.62</v>
      </c>
      <c r="H41" s="22">
        <v>0</v>
      </c>
      <c r="I41" s="22">
        <f t="shared" si="9"/>
        <v>3456658.62</v>
      </c>
      <c r="J41" s="28">
        <v>0.92446137461234879</v>
      </c>
      <c r="K41" s="28">
        <f t="shared" si="10"/>
        <v>1.0668251</v>
      </c>
      <c r="L41" s="24">
        <v>3409090</v>
      </c>
      <c r="M41" s="47">
        <f t="shared" si="11"/>
        <v>0.91947179999999995</v>
      </c>
      <c r="O41" s="4">
        <f t="shared" si="12"/>
        <v>3456658.6667322651</v>
      </c>
    </row>
    <row r="42" spans="1:15" x14ac:dyDescent="0.25">
      <c r="A42" s="20" t="s">
        <v>9</v>
      </c>
      <c r="B42" s="21">
        <v>28711</v>
      </c>
      <c r="C42" s="22">
        <v>186.60756800000001</v>
      </c>
      <c r="D42" s="53">
        <v>1</v>
      </c>
      <c r="E42" s="23">
        <v>0.50703790000000004</v>
      </c>
      <c r="F42" s="22">
        <v>0</v>
      </c>
      <c r="G42" s="22">
        <v>2716551.65</v>
      </c>
      <c r="H42" s="22">
        <v>0</v>
      </c>
      <c r="I42" s="22">
        <f t="shared" si="9"/>
        <v>2716551.65</v>
      </c>
      <c r="J42" s="28">
        <v>0.92446137461234879</v>
      </c>
      <c r="K42" s="28">
        <f t="shared" si="10"/>
        <v>1.0230724</v>
      </c>
      <c r="L42" s="24">
        <v>2569290</v>
      </c>
      <c r="M42" s="47">
        <f t="shared" si="11"/>
        <v>0.50703790000000004</v>
      </c>
      <c r="O42" s="4">
        <f t="shared" si="12"/>
        <v>2716551.8280645721</v>
      </c>
    </row>
    <row r="43" spans="1:15" ht="71.25" x14ac:dyDescent="0.25">
      <c r="A43" s="15" t="s">
        <v>37</v>
      </c>
      <c r="B43" s="16">
        <v>57832</v>
      </c>
      <c r="C43" s="17">
        <v>186.60756800000001</v>
      </c>
      <c r="D43" s="53">
        <v>1</v>
      </c>
      <c r="E43" s="18">
        <v>1.2373907</v>
      </c>
      <c r="F43" s="17">
        <f>F44+F45+F46</f>
        <v>0</v>
      </c>
      <c r="G43" s="17">
        <f>SUM(G44:G46)</f>
        <v>13353783.02</v>
      </c>
      <c r="H43" s="17">
        <f>SUM(H44:H46)</f>
        <v>0</v>
      </c>
      <c r="I43" s="17">
        <f>SUM(I44:I46)</f>
        <v>13353783.02</v>
      </c>
      <c r="J43" s="19">
        <f t="shared" si="4"/>
        <v>0.91555838384440069</v>
      </c>
      <c r="K43" s="19" t="s">
        <v>56</v>
      </c>
      <c r="L43" s="17">
        <v>12226168</v>
      </c>
      <c r="M43" s="47">
        <f t="shared" si="11"/>
        <v>1.2373907</v>
      </c>
      <c r="O43" s="4">
        <f t="shared" si="12"/>
        <v>13353782.926359028</v>
      </c>
    </row>
    <row r="44" spans="1:15" x14ac:dyDescent="0.25">
      <c r="A44" s="20" t="s">
        <v>4</v>
      </c>
      <c r="B44" s="21">
        <v>38713</v>
      </c>
      <c r="C44" s="22">
        <v>186.60756800000001</v>
      </c>
      <c r="D44" s="53">
        <v>1</v>
      </c>
      <c r="E44" s="23">
        <v>1.2205842</v>
      </c>
      <c r="F44" s="22">
        <v>0</v>
      </c>
      <c r="G44" s="22">
        <v>8817669.9199999999</v>
      </c>
      <c r="H44" s="22">
        <v>0</v>
      </c>
      <c r="I44" s="22">
        <f t="shared" ref="I44:I51" si="13">G44-H44</f>
        <v>8817669.9199999999</v>
      </c>
      <c r="J44" s="28">
        <v>0.91555838384440069</v>
      </c>
      <c r="K44" s="28">
        <f>ROUND(L44/I44/J44,7)</f>
        <v>1.0132920999999999</v>
      </c>
      <c r="L44" s="24">
        <v>8180400</v>
      </c>
      <c r="M44" s="47">
        <f t="shared" si="11"/>
        <v>1.2205842</v>
      </c>
      <c r="O44" s="4">
        <f t="shared" si="12"/>
        <v>8817669.6534557473</v>
      </c>
    </row>
    <row r="45" spans="1:15" x14ac:dyDescent="0.25">
      <c r="A45" s="26" t="s">
        <v>5</v>
      </c>
      <c r="B45" s="27">
        <v>5619</v>
      </c>
      <c r="C45" s="22">
        <v>186.60756800000001</v>
      </c>
      <c r="D45" s="53">
        <v>1</v>
      </c>
      <c r="E45" s="23">
        <v>0.70275109999999996</v>
      </c>
      <c r="F45" s="22">
        <v>0</v>
      </c>
      <c r="G45" s="22">
        <v>736868.24</v>
      </c>
      <c r="H45" s="22">
        <v>0</v>
      </c>
      <c r="I45" s="22">
        <f t="shared" si="13"/>
        <v>736868.24</v>
      </c>
      <c r="J45" s="28">
        <v>0.91555838384440069</v>
      </c>
      <c r="K45" s="28">
        <f>ROUND(L45/I45/J45,7)</f>
        <v>1.0636365000000001</v>
      </c>
      <c r="L45" s="24">
        <v>717578</v>
      </c>
      <c r="M45" s="47">
        <f t="shared" si="11"/>
        <v>0.70275109999999996</v>
      </c>
      <c r="O45" s="4">
        <f t="shared" si="12"/>
        <v>736868.20740974508</v>
      </c>
    </row>
    <row r="46" spans="1:15" ht="26.25" x14ac:dyDescent="0.25">
      <c r="A46" s="26" t="s">
        <v>6</v>
      </c>
      <c r="B46" s="46">
        <v>13500</v>
      </c>
      <c r="C46" s="22">
        <v>186.60756800000001</v>
      </c>
      <c r="D46" s="53">
        <v>1</v>
      </c>
      <c r="E46" s="23">
        <v>1.5081142999999999</v>
      </c>
      <c r="F46" s="22">
        <v>0</v>
      </c>
      <c r="G46" s="22">
        <v>3799244.86</v>
      </c>
      <c r="H46" s="22">
        <v>0</v>
      </c>
      <c r="I46" s="22">
        <f t="shared" si="13"/>
        <v>3799244.86</v>
      </c>
      <c r="J46" s="28">
        <v>0.91555838384440069</v>
      </c>
      <c r="K46" s="28">
        <f>ROUND(L46/I46/J46,7)</f>
        <v>0.95680799999999999</v>
      </c>
      <c r="L46" s="24">
        <v>3328190</v>
      </c>
      <c r="M46" s="47">
        <f t="shared" si="11"/>
        <v>1.5081142999999999</v>
      </c>
      <c r="O46" s="4">
        <f t="shared" si="12"/>
        <v>3799244.8141518021</v>
      </c>
    </row>
    <row r="47" spans="1:15" ht="58.5" customHeight="1" x14ac:dyDescent="0.25">
      <c r="A47" s="15" t="s">
        <v>38</v>
      </c>
      <c r="B47" s="16">
        <v>71709</v>
      </c>
      <c r="C47" s="17">
        <v>186.60756800000001</v>
      </c>
      <c r="D47" s="53">
        <v>1</v>
      </c>
      <c r="E47" s="18">
        <v>0.90711969999999997</v>
      </c>
      <c r="F47" s="17">
        <f>F48+F50+F51</f>
        <v>0</v>
      </c>
      <c r="G47" s="17">
        <f>SUM(G48:G51)</f>
        <v>12138569.640000001</v>
      </c>
      <c r="H47" s="17">
        <f>SUM(H48:H51)</f>
        <v>0</v>
      </c>
      <c r="I47" s="17">
        <f t="shared" si="13"/>
        <v>12138569.640000001</v>
      </c>
      <c r="J47" s="19">
        <f t="shared" si="4"/>
        <v>0.90115189222574654</v>
      </c>
      <c r="K47" s="19" t="s">
        <v>56</v>
      </c>
      <c r="L47" s="17">
        <v>10938695</v>
      </c>
      <c r="M47" s="47">
        <f t="shared" si="11"/>
        <v>0.90711969999999997</v>
      </c>
      <c r="O47" s="4">
        <f t="shared" si="12"/>
        <v>12138569.737615401</v>
      </c>
    </row>
    <row r="48" spans="1:15" ht="18" customHeight="1" x14ac:dyDescent="0.25">
      <c r="A48" s="2" t="s">
        <v>7</v>
      </c>
      <c r="B48" s="21">
        <v>26964</v>
      </c>
      <c r="C48" s="22">
        <v>186.60756800000001</v>
      </c>
      <c r="D48" s="53">
        <v>1</v>
      </c>
      <c r="E48" s="23">
        <v>0.53595720000000002</v>
      </c>
      <c r="F48" s="22">
        <v>0</v>
      </c>
      <c r="G48" s="22">
        <v>2696768.61</v>
      </c>
      <c r="H48" s="22">
        <v>0</v>
      </c>
      <c r="I48" s="22">
        <f t="shared" si="13"/>
        <v>2696768.61</v>
      </c>
      <c r="J48" s="28">
        <v>0.90115189222574654</v>
      </c>
      <c r="K48" s="28">
        <f>ROUND(L48/I48/J48,7)</f>
        <v>1.023468</v>
      </c>
      <c r="L48" s="24">
        <v>2487230</v>
      </c>
      <c r="M48" s="47">
        <f t="shared" si="11"/>
        <v>0.53595720000000002</v>
      </c>
      <c r="O48" s="4">
        <f t="shared" si="12"/>
        <v>2696768.5882832319</v>
      </c>
    </row>
    <row r="49" spans="1:15" ht="18" customHeight="1" x14ac:dyDescent="0.25">
      <c r="A49" s="20" t="s">
        <v>8</v>
      </c>
      <c r="B49" s="21">
        <v>0</v>
      </c>
      <c r="C49" s="22">
        <v>186.60756800000001</v>
      </c>
      <c r="D49" s="53">
        <v>1</v>
      </c>
      <c r="E49" s="23" t="e">
        <v>#DIV/0!</v>
      </c>
      <c r="F49" s="22">
        <v>0</v>
      </c>
      <c r="G49" s="22">
        <v>0</v>
      </c>
      <c r="H49" s="22">
        <v>0</v>
      </c>
      <c r="I49" s="22">
        <f t="shared" si="13"/>
        <v>0</v>
      </c>
      <c r="J49" s="28">
        <v>0</v>
      </c>
      <c r="K49" s="28">
        <v>0</v>
      </c>
      <c r="L49" s="24">
        <v>0</v>
      </c>
      <c r="M49" s="47" t="e">
        <f t="shared" si="11"/>
        <v>#DIV/0!</v>
      </c>
      <c r="O49" s="4" t="e">
        <f t="shared" si="12"/>
        <v>#DIV/0!</v>
      </c>
    </row>
    <row r="50" spans="1:15" ht="26.25" customHeight="1" x14ac:dyDescent="0.25">
      <c r="A50" s="3" t="s">
        <v>5</v>
      </c>
      <c r="B50" s="21">
        <v>17745</v>
      </c>
      <c r="C50" s="22">
        <v>186.60756800000001</v>
      </c>
      <c r="D50" s="53">
        <v>1</v>
      </c>
      <c r="E50" s="23">
        <v>0.55654269999999995</v>
      </c>
      <c r="F50" s="22">
        <v>0</v>
      </c>
      <c r="G50" s="22">
        <v>1842908.45</v>
      </c>
      <c r="H50" s="22">
        <v>0</v>
      </c>
      <c r="I50" s="22">
        <f t="shared" si="13"/>
        <v>1842908.45</v>
      </c>
      <c r="J50" s="28">
        <v>0.90115189222574654</v>
      </c>
      <c r="K50" s="28">
        <f>ROUND(L50/I50/J50,7)</f>
        <v>1.0806655999999999</v>
      </c>
      <c r="L50" s="24">
        <v>1794705</v>
      </c>
      <c r="M50" s="47">
        <f t="shared" si="11"/>
        <v>0.55654269999999995</v>
      </c>
      <c r="O50" s="4">
        <f t="shared" si="12"/>
        <v>1842908.3899003004</v>
      </c>
    </row>
    <row r="51" spans="1:15" ht="30" customHeight="1" x14ac:dyDescent="0.25">
      <c r="A51" s="3" t="s">
        <v>6</v>
      </c>
      <c r="B51" s="21">
        <v>27000</v>
      </c>
      <c r="C51" s="22">
        <v>186.60756800000001</v>
      </c>
      <c r="D51" s="53">
        <v>1</v>
      </c>
      <c r="E51" s="23">
        <v>1.5081943</v>
      </c>
      <c r="F51" s="22">
        <v>0</v>
      </c>
      <c r="G51" s="22">
        <v>7598892.5800000001</v>
      </c>
      <c r="H51" s="22">
        <v>0</v>
      </c>
      <c r="I51" s="22">
        <f t="shared" si="13"/>
        <v>7598892.5800000001</v>
      </c>
      <c r="J51" s="28">
        <v>0.90115189222574654</v>
      </c>
      <c r="K51" s="28">
        <f>ROUND(L51/I51/J51,7)</f>
        <v>0.97210819999999998</v>
      </c>
      <c r="L51" s="24">
        <v>6656760</v>
      </c>
      <c r="M51" s="47">
        <f t="shared" si="11"/>
        <v>1.5081943</v>
      </c>
      <c r="O51" s="4">
        <f t="shared" si="12"/>
        <v>7598892.7006504852</v>
      </c>
    </row>
    <row r="52" spans="1:15" ht="71.25" x14ac:dyDescent="0.25">
      <c r="A52" s="15" t="s">
        <v>39</v>
      </c>
      <c r="B52" s="16">
        <v>7979</v>
      </c>
      <c r="C52" s="17">
        <v>186.60756800000001</v>
      </c>
      <c r="D52" s="53">
        <v>1</v>
      </c>
      <c r="E52" s="18">
        <v>0.75890919999999995</v>
      </c>
      <c r="F52" s="17">
        <f>F53</f>
        <v>0</v>
      </c>
      <c r="G52" s="17">
        <f>G53+G54</f>
        <v>1129971.6000000001</v>
      </c>
      <c r="H52" s="17">
        <f>SUM(H53:H53)</f>
        <v>0</v>
      </c>
      <c r="I52" s="17">
        <f>I53+I54</f>
        <v>1129971.6000000001</v>
      </c>
      <c r="J52" s="19">
        <f t="shared" si="4"/>
        <v>0.9030129606797197</v>
      </c>
      <c r="K52" s="19" t="s">
        <v>56</v>
      </c>
      <c r="L52" s="17">
        <v>1020379</v>
      </c>
      <c r="M52" s="47">
        <f t="shared" si="11"/>
        <v>0.75890919999999995</v>
      </c>
      <c r="O52" s="4">
        <f t="shared" si="12"/>
        <v>1129971.6189555635</v>
      </c>
    </row>
    <row r="53" spans="1:15" x14ac:dyDescent="0.25">
      <c r="A53" s="20" t="s">
        <v>4</v>
      </c>
      <c r="B53" s="21">
        <v>3479</v>
      </c>
      <c r="C53" s="22">
        <v>186.60756800000001</v>
      </c>
      <c r="D53" s="53">
        <v>1</v>
      </c>
      <c r="E53" s="23">
        <v>0.90480320000000003</v>
      </c>
      <c r="F53" s="22">
        <v>0</v>
      </c>
      <c r="G53" s="22">
        <v>587405.22</v>
      </c>
      <c r="H53" s="22">
        <v>0</v>
      </c>
      <c r="I53" s="22">
        <f>G53-H53</f>
        <v>587405.22</v>
      </c>
      <c r="J53" s="28">
        <v>0.9030129606797197</v>
      </c>
      <c r="K53" s="28">
        <f>ROUND(L53/I53/J53,7)</f>
        <v>1.027533</v>
      </c>
      <c r="L53" s="24">
        <v>545039</v>
      </c>
      <c r="M53" s="47">
        <f t="shared" si="11"/>
        <v>0.90480320000000003</v>
      </c>
      <c r="O53" s="4">
        <f t="shared" si="12"/>
        <v>587405.23072907864</v>
      </c>
    </row>
    <row r="54" spans="1:15" ht="26.25" x14ac:dyDescent="0.25">
      <c r="A54" s="3" t="s">
        <v>6</v>
      </c>
      <c r="B54" s="21">
        <v>4500</v>
      </c>
      <c r="C54" s="22">
        <v>186.60756800000001</v>
      </c>
      <c r="D54" s="53">
        <v>1</v>
      </c>
      <c r="E54" s="23">
        <v>0.64611689999999999</v>
      </c>
      <c r="F54" s="22">
        <v>0</v>
      </c>
      <c r="G54" s="22">
        <v>542566.38</v>
      </c>
      <c r="H54" s="22">
        <v>0</v>
      </c>
      <c r="I54" s="22">
        <f>G54-H54</f>
        <v>542566.38</v>
      </c>
      <c r="J54" s="28">
        <v>0.9030129606797197</v>
      </c>
      <c r="K54" s="28">
        <f>ROUND(L54/I54/J54,7)</f>
        <v>0.97019160000000004</v>
      </c>
      <c r="L54" s="24">
        <v>475340</v>
      </c>
      <c r="M54" s="47">
        <f t="shared" si="11"/>
        <v>0.64611689999999999</v>
      </c>
      <c r="O54" s="4">
        <f t="shared" si="12"/>
        <v>542566.36508714641</v>
      </c>
    </row>
    <row r="55" spans="1:15" ht="69.75" customHeight="1" x14ac:dyDescent="0.25">
      <c r="A55" s="15" t="s">
        <v>40</v>
      </c>
      <c r="B55" s="35">
        <v>5032</v>
      </c>
      <c r="C55" s="17">
        <v>186.60756800000001</v>
      </c>
      <c r="D55" s="53">
        <v>1</v>
      </c>
      <c r="E55" s="18">
        <v>1.2515368</v>
      </c>
      <c r="F55" s="17">
        <f>F56</f>
        <v>0</v>
      </c>
      <c r="G55" s="17">
        <f t="shared" ref="G55:H55" si="14">G56</f>
        <v>1175204.6299999999</v>
      </c>
      <c r="H55" s="17">
        <f t="shared" si="14"/>
        <v>0</v>
      </c>
      <c r="I55" s="17">
        <f>I56</f>
        <v>1175204.6299999999</v>
      </c>
      <c r="J55" s="19">
        <f t="shared" si="4"/>
        <v>0.92779586819701354</v>
      </c>
      <c r="K55" s="19" t="s">
        <v>56</v>
      </c>
      <c r="L55" s="31">
        <v>1090350</v>
      </c>
      <c r="M55" s="47">
        <f t="shared" si="11"/>
        <v>1.2515368</v>
      </c>
      <c r="O55" s="4">
        <f t="shared" si="12"/>
        <v>1175204.6721848482</v>
      </c>
    </row>
    <row r="56" spans="1:15" ht="20.25" customHeight="1" x14ac:dyDescent="0.25">
      <c r="A56" s="20" t="s">
        <v>4</v>
      </c>
      <c r="B56" s="21">
        <v>5032</v>
      </c>
      <c r="C56" s="22">
        <v>186.60756800000001</v>
      </c>
      <c r="D56" s="53">
        <v>1</v>
      </c>
      <c r="E56" s="23">
        <v>1.2515368</v>
      </c>
      <c r="F56" s="22">
        <v>0</v>
      </c>
      <c r="G56" s="22">
        <v>1175204.6299999999</v>
      </c>
      <c r="H56" s="22">
        <v>0</v>
      </c>
      <c r="I56" s="22">
        <f>G56-H56</f>
        <v>1175204.6299999999</v>
      </c>
      <c r="J56" s="28">
        <v>0.92779586819701354</v>
      </c>
      <c r="K56" s="28">
        <f>ROUND(L56/I56/J56,7)</f>
        <v>1</v>
      </c>
      <c r="L56" s="24">
        <v>1090350</v>
      </c>
      <c r="M56" s="47">
        <f t="shared" si="11"/>
        <v>1.2515368</v>
      </c>
      <c r="O56" s="4">
        <f t="shared" si="12"/>
        <v>1175204.6721848482</v>
      </c>
    </row>
    <row r="57" spans="1:15" ht="55.5" customHeight="1" x14ac:dyDescent="0.25">
      <c r="A57" s="15" t="s">
        <v>41</v>
      </c>
      <c r="B57" s="36">
        <v>28220</v>
      </c>
      <c r="C57" s="17">
        <v>186.60756800000001</v>
      </c>
      <c r="D57" s="53">
        <v>1</v>
      </c>
      <c r="E57" s="18">
        <v>0.51585979999999998</v>
      </c>
      <c r="F57" s="17">
        <f>F58</f>
        <v>0</v>
      </c>
      <c r="G57" s="17">
        <f>SUM(G58:G58)</f>
        <v>2716551.65</v>
      </c>
      <c r="H57" s="17">
        <f>SUM(H58:H58)</f>
        <v>0</v>
      </c>
      <c r="I57" s="17">
        <f>SUM(I58:I58)</f>
        <v>2716551.65</v>
      </c>
      <c r="J57" s="19">
        <f t="shared" si="4"/>
        <v>0.94579096259774775</v>
      </c>
      <c r="K57" s="19" t="s">
        <v>56</v>
      </c>
      <c r="L57" s="31">
        <v>2569290</v>
      </c>
      <c r="M57" s="47">
        <f t="shared" si="11"/>
        <v>0.51585979999999998</v>
      </c>
      <c r="O57" s="4">
        <f t="shared" si="12"/>
        <v>2716551.5311905919</v>
      </c>
    </row>
    <row r="58" spans="1:15" x14ac:dyDescent="0.25">
      <c r="A58" s="20" t="s">
        <v>9</v>
      </c>
      <c r="B58" s="21">
        <v>28220</v>
      </c>
      <c r="C58" s="22">
        <v>186.60756800000001</v>
      </c>
      <c r="D58" s="53">
        <v>1</v>
      </c>
      <c r="E58" s="23">
        <v>0.51585979999999998</v>
      </c>
      <c r="F58" s="22">
        <v>0</v>
      </c>
      <c r="G58" s="22">
        <v>2716551.65</v>
      </c>
      <c r="H58" s="22">
        <v>0</v>
      </c>
      <c r="I58" s="22">
        <f>G58-H58</f>
        <v>2716551.65</v>
      </c>
      <c r="J58" s="28">
        <v>0.94579096259774775</v>
      </c>
      <c r="K58" s="28">
        <f>ROUND(L58/I58/J58,7)</f>
        <v>1</v>
      </c>
      <c r="L58" s="24">
        <v>2569290</v>
      </c>
      <c r="M58" s="47">
        <f t="shared" si="11"/>
        <v>0.51585979999999998</v>
      </c>
      <c r="O58" s="4">
        <f t="shared" si="12"/>
        <v>2716551.5311905919</v>
      </c>
    </row>
    <row r="59" spans="1:15" ht="71.25" x14ac:dyDescent="0.25">
      <c r="A59" s="15" t="s">
        <v>42</v>
      </c>
      <c r="B59" s="35">
        <v>255170</v>
      </c>
      <c r="C59" s="17">
        <v>186.60756800000001</v>
      </c>
      <c r="D59" s="53">
        <v>1</v>
      </c>
      <c r="E59" s="18">
        <v>0.53801030000000005</v>
      </c>
      <c r="F59" s="17">
        <f>F60+F61+F62</f>
        <v>0</v>
      </c>
      <c r="G59" s="17">
        <f t="shared" ref="G59:I59" si="15">SUM(G60:G62)</f>
        <v>25618249.299999997</v>
      </c>
      <c r="H59" s="17">
        <f>SUM(H60:H62)</f>
        <v>0</v>
      </c>
      <c r="I59" s="17">
        <f t="shared" si="15"/>
        <v>25618249.299999997</v>
      </c>
      <c r="J59" s="19">
        <f t="shared" si="4"/>
        <v>0.94955278618512007</v>
      </c>
      <c r="K59" s="19" t="s">
        <v>56</v>
      </c>
      <c r="L59" s="31">
        <v>24325880</v>
      </c>
      <c r="M59" s="47">
        <f t="shared" si="11"/>
        <v>0.53801030000000005</v>
      </c>
      <c r="O59" s="4">
        <f t="shared" si="12"/>
        <v>25618249.833616488</v>
      </c>
    </row>
    <row r="60" spans="1:15" x14ac:dyDescent="0.25">
      <c r="A60" s="26" t="s">
        <v>5</v>
      </c>
      <c r="B60" s="21">
        <v>84625</v>
      </c>
      <c r="C60" s="22">
        <v>186.60756800000001</v>
      </c>
      <c r="D60" s="53">
        <v>1</v>
      </c>
      <c r="E60" s="23">
        <v>0.58373470000000005</v>
      </c>
      <c r="F60" s="22">
        <v>0</v>
      </c>
      <c r="G60" s="22">
        <v>9218142.5299999993</v>
      </c>
      <c r="H60" s="22">
        <v>0</v>
      </c>
      <c r="I60" s="22">
        <f>G60-H60</f>
        <v>9218142.5299999993</v>
      </c>
      <c r="J60" s="28">
        <v>0.94955278618512007</v>
      </c>
      <c r="K60" s="28">
        <f>ROUND(L60/I60/J60,7)</f>
        <v>1.0255677000000001</v>
      </c>
      <c r="L60" s="24">
        <v>8976910</v>
      </c>
      <c r="M60" s="47">
        <f t="shared" si="11"/>
        <v>0.58373470000000005</v>
      </c>
      <c r="O60" s="4">
        <f t="shared" si="12"/>
        <v>9218143.0892862398</v>
      </c>
    </row>
    <row r="61" spans="1:15" x14ac:dyDescent="0.25">
      <c r="A61" s="20" t="s">
        <v>9</v>
      </c>
      <c r="B61" s="21">
        <v>103771</v>
      </c>
      <c r="C61" s="22">
        <v>186.60756800000001</v>
      </c>
      <c r="D61" s="53">
        <v>1</v>
      </c>
      <c r="E61" s="23">
        <v>0.49101030000000001</v>
      </c>
      <c r="F61" s="22">
        <v>0</v>
      </c>
      <c r="G61" s="22">
        <v>9508145.7599999998</v>
      </c>
      <c r="H61" s="22">
        <v>0</v>
      </c>
      <c r="I61" s="22">
        <f>G61-H61</f>
        <v>9508145.7599999998</v>
      </c>
      <c r="J61" s="28">
        <v>0.94955278618512007</v>
      </c>
      <c r="K61" s="28">
        <f>ROUND(L61/I61/J61,7)</f>
        <v>0.99603520000000001</v>
      </c>
      <c r="L61" s="24">
        <v>8992690</v>
      </c>
      <c r="M61" s="47">
        <f t="shared" si="11"/>
        <v>0.49101030000000001</v>
      </c>
      <c r="O61" s="4">
        <f t="shared" si="12"/>
        <v>9508146.3378892187</v>
      </c>
    </row>
    <row r="62" spans="1:15" x14ac:dyDescent="0.25">
      <c r="A62" s="20" t="s">
        <v>26</v>
      </c>
      <c r="B62" s="21">
        <v>66774</v>
      </c>
      <c r="C62" s="22">
        <v>186.60756800000001</v>
      </c>
      <c r="D62" s="53">
        <v>1</v>
      </c>
      <c r="E62" s="23">
        <v>0.55310320000000002</v>
      </c>
      <c r="F62" s="22">
        <v>0</v>
      </c>
      <c r="G62" s="22">
        <v>6891961.0099999998</v>
      </c>
      <c r="H62" s="22">
        <v>0</v>
      </c>
      <c r="I62" s="22">
        <f>G62-H62</f>
        <v>6891961.0099999998</v>
      </c>
      <c r="J62" s="28">
        <v>0.94955278618512007</v>
      </c>
      <c r="K62" s="28">
        <f>ROUND(L62/I62/J62,7)</f>
        <v>0.97127249999999998</v>
      </c>
      <c r="L62" s="24">
        <v>6356280</v>
      </c>
      <c r="M62" s="47">
        <f t="shared" si="11"/>
        <v>0.55310320000000002</v>
      </c>
      <c r="O62" s="4">
        <f t="shared" si="12"/>
        <v>6891961.0884170458</v>
      </c>
    </row>
    <row r="63" spans="1:15" ht="70.5" customHeight="1" x14ac:dyDescent="0.25">
      <c r="A63" s="15" t="s">
        <v>43</v>
      </c>
      <c r="B63" s="37">
        <v>444000</v>
      </c>
      <c r="C63" s="17">
        <v>353.41340799999995</v>
      </c>
      <c r="D63" s="53">
        <v>1</v>
      </c>
      <c r="E63" s="18">
        <v>0.70459720000000003</v>
      </c>
      <c r="F63" s="17">
        <f>F64</f>
        <v>595133.53</v>
      </c>
      <c r="G63" s="38">
        <f>G64</f>
        <v>111157390.31</v>
      </c>
      <c r="H63" s="38">
        <f>H64</f>
        <v>4362.33</v>
      </c>
      <c r="I63" s="38">
        <f>I64</f>
        <v>111153027.98</v>
      </c>
      <c r="J63" s="19">
        <f t="shared" si="4"/>
        <v>0.94644663570414767</v>
      </c>
      <c r="K63" s="19" t="s">
        <v>56</v>
      </c>
      <c r="L63" s="29">
        <v>105200409.38</v>
      </c>
      <c r="M63" s="47">
        <f t="shared" si="11"/>
        <v>0.70459720000000003</v>
      </c>
      <c r="O63" s="4">
        <f t="shared" si="12"/>
        <v>111157392.91735037</v>
      </c>
    </row>
    <row r="64" spans="1:15" ht="19.5" customHeight="1" x14ac:dyDescent="0.25">
      <c r="A64" s="39" t="s">
        <v>11</v>
      </c>
      <c r="B64" s="40">
        <v>444000</v>
      </c>
      <c r="C64" s="22">
        <v>353.41340799999995</v>
      </c>
      <c r="D64" s="53">
        <v>1</v>
      </c>
      <c r="E64" s="23">
        <v>0.70459720000000003</v>
      </c>
      <c r="F64" s="22">
        <v>595133.53</v>
      </c>
      <c r="G64" s="41">
        <f>111153027.98-590771.2+F64</f>
        <v>111157390.31</v>
      </c>
      <c r="H64" s="41">
        <v>4362.33</v>
      </c>
      <c r="I64" s="41">
        <f>G64-H64</f>
        <v>111153027.98</v>
      </c>
      <c r="J64" s="28">
        <f t="shared" si="4"/>
        <v>0.94644663570414767</v>
      </c>
      <c r="K64" s="28">
        <f>ROUND(L64/I64/J64,7)</f>
        <v>1</v>
      </c>
      <c r="L64" s="42">
        <v>105200409.38</v>
      </c>
      <c r="M64" s="47">
        <f t="shared" si="11"/>
        <v>0.70459720000000003</v>
      </c>
      <c r="O64" s="4">
        <f t="shared" si="12"/>
        <v>111157392.91735037</v>
      </c>
    </row>
    <row r="65" spans="1:15" ht="57" customHeight="1" x14ac:dyDescent="0.25">
      <c r="A65" s="15" t="s">
        <v>44</v>
      </c>
      <c r="B65" s="37">
        <v>53000</v>
      </c>
      <c r="C65" s="17">
        <v>1986.3895360000001</v>
      </c>
      <c r="D65" s="53">
        <v>1</v>
      </c>
      <c r="E65" s="18">
        <v>1.0604529</v>
      </c>
      <c r="F65" s="17">
        <f>F66</f>
        <v>995046.95</v>
      </c>
      <c r="G65" s="38">
        <f>G66</f>
        <v>112638088.51000001</v>
      </c>
      <c r="H65" s="38">
        <f>H66</f>
        <v>28034067.32</v>
      </c>
      <c r="I65" s="38">
        <f>I66</f>
        <v>84604021.189999998</v>
      </c>
      <c r="J65" s="19">
        <f t="shared" si="4"/>
        <v>0.88424470749438144</v>
      </c>
      <c r="K65" s="19" t="s">
        <v>56</v>
      </c>
      <c r="L65" s="29">
        <v>74810657.969999999</v>
      </c>
      <c r="M65" s="47">
        <f t="shared" si="11"/>
        <v>1.0604529</v>
      </c>
      <c r="O65" s="4">
        <f t="shared" si="12"/>
        <v>112638091.7809853</v>
      </c>
    </row>
    <row r="66" spans="1:15" ht="16.5" customHeight="1" x14ac:dyDescent="0.25">
      <c r="A66" s="26" t="s">
        <v>12</v>
      </c>
      <c r="B66" s="27">
        <v>53000</v>
      </c>
      <c r="C66" s="22">
        <v>1986.3895360000001</v>
      </c>
      <c r="D66" s="53">
        <v>1</v>
      </c>
      <c r="E66" s="23">
        <v>1.0604529</v>
      </c>
      <c r="F66" s="22">
        <v>995046.95</v>
      </c>
      <c r="G66" s="41">
        <f>84604021.19-974419.63+F66+28013440</f>
        <v>112638088.51000001</v>
      </c>
      <c r="H66" s="41">
        <f>20627.32+28013440</f>
        <v>28034067.32</v>
      </c>
      <c r="I66" s="41">
        <f>G66-H66</f>
        <v>84604021.189999998</v>
      </c>
      <c r="J66" s="28">
        <f t="shared" si="4"/>
        <v>0.88424470749438144</v>
      </c>
      <c r="K66" s="28">
        <f>ROUND(L66/I66/J66,7)</f>
        <v>1</v>
      </c>
      <c r="L66" s="42">
        <v>74810657.969999999</v>
      </c>
      <c r="M66" s="47">
        <f t="shared" si="11"/>
        <v>1.0604529</v>
      </c>
      <c r="O66" s="4">
        <f t="shared" si="12"/>
        <v>112638091.7809853</v>
      </c>
    </row>
    <row r="67" spans="1:15" ht="55.5" customHeight="1" x14ac:dyDescent="0.25">
      <c r="A67" s="15" t="s">
        <v>44</v>
      </c>
      <c r="B67" s="37">
        <v>22000</v>
      </c>
      <c r="C67" s="17">
        <v>1986.3895359999999</v>
      </c>
      <c r="D67" s="53">
        <v>1</v>
      </c>
      <c r="E67" s="18">
        <v>1.4516926000000001</v>
      </c>
      <c r="F67" s="17">
        <f>F68</f>
        <v>40118.230000000003</v>
      </c>
      <c r="G67" s="38">
        <f>G68</f>
        <v>63479914.170000002</v>
      </c>
      <c r="H67" s="38">
        <f>H68</f>
        <v>9950818.2899999991</v>
      </c>
      <c r="I67" s="38">
        <f>I68</f>
        <v>53529095.880000003</v>
      </c>
      <c r="J67" s="19">
        <f t="shared" si="4"/>
        <v>0.97847525441896177</v>
      </c>
      <c r="K67" s="19" t="s">
        <v>56</v>
      </c>
      <c r="L67" s="29">
        <v>52376895.710000001</v>
      </c>
      <c r="M67" s="47">
        <f t="shared" si="11"/>
        <v>1.4516926000000001</v>
      </c>
      <c r="O67" s="4">
        <f t="shared" si="12"/>
        <v>63479912.012829937</v>
      </c>
    </row>
    <row r="68" spans="1:15" x14ac:dyDescent="0.25">
      <c r="A68" s="26" t="s">
        <v>13</v>
      </c>
      <c r="B68" s="27">
        <v>22000</v>
      </c>
      <c r="C68" s="22">
        <v>1986.3895359999999</v>
      </c>
      <c r="D68" s="53">
        <v>1</v>
      </c>
      <c r="E68" s="23">
        <v>1.4516926000000001</v>
      </c>
      <c r="F68" s="22">
        <v>40118.230000000003</v>
      </c>
      <c r="G68" s="41">
        <f>53529095.88-40019.94+F68+9950720</f>
        <v>63479914.170000002</v>
      </c>
      <c r="H68" s="41">
        <f>98.29+9950720</f>
        <v>9950818.2899999991</v>
      </c>
      <c r="I68" s="41">
        <f>G68-H68</f>
        <v>53529095.880000003</v>
      </c>
      <c r="J68" s="28">
        <f t="shared" si="4"/>
        <v>0.97847525441896177</v>
      </c>
      <c r="K68" s="28">
        <f>ROUND(L68/I68/J68,7)</f>
        <v>1</v>
      </c>
      <c r="L68" s="42">
        <v>52376895.710000001</v>
      </c>
      <c r="M68" s="47">
        <f t="shared" si="11"/>
        <v>1.4516926000000001</v>
      </c>
      <c r="O68" s="4">
        <f t="shared" si="12"/>
        <v>63479912.012829937</v>
      </c>
    </row>
    <row r="69" spans="1:15" ht="78.75" customHeight="1" x14ac:dyDescent="0.25">
      <c r="A69" s="15" t="s">
        <v>45</v>
      </c>
      <c r="B69" s="37">
        <v>22</v>
      </c>
      <c r="C69" s="17">
        <v>4475986.2696319995</v>
      </c>
      <c r="D69" s="53">
        <v>1</v>
      </c>
      <c r="E69" s="18">
        <v>1.2719415000000001</v>
      </c>
      <c r="F69" s="17">
        <f>F70</f>
        <v>0</v>
      </c>
      <c r="G69" s="38">
        <f>G70</f>
        <v>125250240.98999999</v>
      </c>
      <c r="H69" s="38">
        <f>H70</f>
        <v>28446080</v>
      </c>
      <c r="I69" s="38">
        <f>I70</f>
        <v>96804160.989999995</v>
      </c>
      <c r="J69" s="19">
        <f t="shared" si="4"/>
        <v>0.94171712866162005</v>
      </c>
      <c r="K69" s="19" t="s">
        <v>56</v>
      </c>
      <c r="L69" s="29">
        <v>91162136.530000001</v>
      </c>
      <c r="M69" s="47">
        <f t="shared" si="11"/>
        <v>1.2719415000000001</v>
      </c>
      <c r="O69" s="4">
        <f t="shared" si="12"/>
        <v>125250239.17505287</v>
      </c>
    </row>
    <row r="70" spans="1:15" x14ac:dyDescent="0.25">
      <c r="A70" s="26" t="s">
        <v>19</v>
      </c>
      <c r="B70" s="27">
        <v>22</v>
      </c>
      <c r="C70" s="22">
        <v>4475986.2696319995</v>
      </c>
      <c r="D70" s="53">
        <v>1</v>
      </c>
      <c r="E70" s="23">
        <v>1.2719415000000001</v>
      </c>
      <c r="F70" s="22">
        <v>0</v>
      </c>
      <c r="G70" s="41">
        <f>96804160.99+28446080</f>
        <v>125250240.98999999</v>
      </c>
      <c r="H70" s="41">
        <v>28446080</v>
      </c>
      <c r="I70" s="41">
        <f>G70-H70</f>
        <v>96804160.989999995</v>
      </c>
      <c r="J70" s="28">
        <f t="shared" si="4"/>
        <v>0.94171712866162005</v>
      </c>
      <c r="K70" s="28">
        <f>ROUND(L70/I70/J70,7)</f>
        <v>1</v>
      </c>
      <c r="L70" s="42">
        <v>91162136.530000001</v>
      </c>
      <c r="M70" s="47">
        <f t="shared" si="11"/>
        <v>1.2719415000000001</v>
      </c>
      <c r="O70" s="4">
        <f t="shared" si="12"/>
        <v>125250239.17505287</v>
      </c>
    </row>
    <row r="71" spans="1:15" ht="54" customHeight="1" x14ac:dyDescent="0.25">
      <c r="A71" s="15" t="s">
        <v>46</v>
      </c>
      <c r="B71" s="37">
        <f>B72</f>
        <v>14</v>
      </c>
      <c r="C71" s="17">
        <v>839566.89068800013</v>
      </c>
      <c r="D71" s="53">
        <v>1</v>
      </c>
      <c r="E71" s="18">
        <v>0.17244409999999999</v>
      </c>
      <c r="F71" s="17">
        <f>F72</f>
        <v>0</v>
      </c>
      <c r="G71" s="38">
        <f>G72</f>
        <v>2026897.3</v>
      </c>
      <c r="H71" s="38">
        <f>H72</f>
        <v>0</v>
      </c>
      <c r="I71" s="38">
        <f>I72</f>
        <v>2026897.3</v>
      </c>
      <c r="J71" s="19">
        <f t="shared" si="4"/>
        <v>1</v>
      </c>
      <c r="K71" s="19" t="s">
        <v>56</v>
      </c>
      <c r="L71" s="29">
        <v>2026897.3</v>
      </c>
      <c r="M71" s="47">
        <f t="shared" si="11"/>
        <v>0.17244409999999999</v>
      </c>
      <c r="O71" s="4">
        <f t="shared" si="12"/>
        <v>2026896.9959628677</v>
      </c>
    </row>
    <row r="72" spans="1:15" x14ac:dyDescent="0.25">
      <c r="A72" s="26" t="s">
        <v>19</v>
      </c>
      <c r="B72" s="27">
        <v>14</v>
      </c>
      <c r="C72" s="22">
        <v>839566.89068800013</v>
      </c>
      <c r="D72" s="53">
        <v>1</v>
      </c>
      <c r="E72" s="23">
        <v>0.17244409999999999</v>
      </c>
      <c r="F72" s="22">
        <v>0</v>
      </c>
      <c r="G72" s="41">
        <v>2026897.3</v>
      </c>
      <c r="H72" s="41">
        <v>0</v>
      </c>
      <c r="I72" s="41">
        <f>G72-H72</f>
        <v>2026897.3</v>
      </c>
      <c r="J72" s="28">
        <f t="shared" si="4"/>
        <v>1</v>
      </c>
      <c r="K72" s="28">
        <f>ROUND(L72/I72/J72,7)</f>
        <v>1</v>
      </c>
      <c r="L72" s="42">
        <v>2026897.3</v>
      </c>
      <c r="M72" s="47">
        <f t="shared" si="11"/>
        <v>0.17244409999999999</v>
      </c>
      <c r="O72" s="4">
        <f t="shared" si="12"/>
        <v>2026896.9959628677</v>
      </c>
    </row>
    <row r="73" spans="1:15" ht="56.25" customHeight="1" x14ac:dyDescent="0.25">
      <c r="A73" s="15" t="s">
        <v>47</v>
      </c>
      <c r="B73" s="37">
        <v>35000</v>
      </c>
      <c r="C73" s="17">
        <v>495.60086400000006</v>
      </c>
      <c r="D73" s="53">
        <v>1</v>
      </c>
      <c r="E73" s="18">
        <v>0.65397309999999997</v>
      </c>
      <c r="F73" s="17">
        <f>F74</f>
        <v>12675.81</v>
      </c>
      <c r="G73" s="38">
        <f>G74</f>
        <v>11356513.710000001</v>
      </c>
      <c r="H73" s="38">
        <f>H74</f>
        <v>1244059.8</v>
      </c>
      <c r="I73" s="38">
        <f>I74</f>
        <v>10112453.91</v>
      </c>
      <c r="J73" s="19">
        <f t="shared" si="4"/>
        <v>0.95769660917050348</v>
      </c>
      <c r="K73" s="19" t="s">
        <v>56</v>
      </c>
      <c r="L73" s="29">
        <v>9684662.8200000003</v>
      </c>
      <c r="M73" s="47">
        <f t="shared" si="11"/>
        <v>0.65397309999999997</v>
      </c>
      <c r="O73" s="4">
        <f t="shared" si="12"/>
        <v>11356512.978746545</v>
      </c>
    </row>
    <row r="74" spans="1:15" ht="15" customHeight="1" x14ac:dyDescent="0.25">
      <c r="A74" s="26" t="s">
        <v>14</v>
      </c>
      <c r="B74" s="27">
        <v>35000</v>
      </c>
      <c r="C74" s="22">
        <v>495.60086400000006</v>
      </c>
      <c r="D74" s="53">
        <v>1</v>
      </c>
      <c r="E74" s="23">
        <v>0.65397309999999997</v>
      </c>
      <c r="F74" s="22">
        <v>12675.81</v>
      </c>
      <c r="G74" s="41">
        <f>10112453.91-12456.01+F74+1243840</f>
        <v>11356513.710000001</v>
      </c>
      <c r="H74" s="41">
        <f>219.8+1243840</f>
        <v>1244059.8</v>
      </c>
      <c r="I74" s="41">
        <f>G74-H74</f>
        <v>10112453.91</v>
      </c>
      <c r="J74" s="28">
        <f t="shared" si="4"/>
        <v>0.95769660917050348</v>
      </c>
      <c r="K74" s="28">
        <f>ROUND(L74/I74/J74,7)</f>
        <v>1</v>
      </c>
      <c r="L74" s="42">
        <v>9684662.8200000003</v>
      </c>
      <c r="M74" s="47">
        <f t="shared" si="11"/>
        <v>0.65397309999999997</v>
      </c>
      <c r="O74" s="4">
        <f t="shared" si="12"/>
        <v>11356512.978746545</v>
      </c>
    </row>
    <row r="75" spans="1:15" ht="75" hidden="1" customHeight="1" x14ac:dyDescent="0.25">
      <c r="A75" s="15" t="s">
        <v>54</v>
      </c>
      <c r="B75" s="53">
        <f>B76</f>
        <v>7</v>
      </c>
      <c r="C75" s="17">
        <f>C76</f>
        <v>4310763.6327876365</v>
      </c>
      <c r="D75" s="53">
        <v>1</v>
      </c>
      <c r="E75" s="19">
        <v>-7.8771999999999991E-3</v>
      </c>
      <c r="F75" s="17">
        <f t="shared" ref="F75:L75" si="16">F76</f>
        <v>237696.07</v>
      </c>
      <c r="G75" s="17">
        <f t="shared" si="16"/>
        <v>0</v>
      </c>
      <c r="H75" s="17">
        <f t="shared" si="16"/>
        <v>0</v>
      </c>
      <c r="I75" s="17">
        <f t="shared" si="16"/>
        <v>0</v>
      </c>
      <c r="J75" s="19" t="e">
        <f t="shared" si="4"/>
        <v>#DIV/0!</v>
      </c>
      <c r="K75" s="19" t="s">
        <v>56</v>
      </c>
      <c r="L75" s="17">
        <f t="shared" si="16"/>
        <v>0</v>
      </c>
      <c r="M75" s="47">
        <f t="shared" si="11"/>
        <v>-7.8771999999999991E-3</v>
      </c>
      <c r="O75" s="4">
        <f t="shared" si="12"/>
        <v>-1.1610173633380327</v>
      </c>
    </row>
    <row r="76" spans="1:15" hidden="1" x14ac:dyDescent="0.25">
      <c r="A76" s="64" t="s">
        <v>55</v>
      </c>
      <c r="B76" s="69">
        <v>7</v>
      </c>
      <c r="C76" s="66">
        <v>4310763.6327876365</v>
      </c>
      <c r="D76" s="67">
        <v>1</v>
      </c>
      <c r="E76" s="68">
        <v>-7.8771999999999991E-3</v>
      </c>
      <c r="F76" s="66">
        <v>237696.07</v>
      </c>
      <c r="G76" s="24"/>
      <c r="H76" s="24">
        <v>0</v>
      </c>
      <c r="I76" s="24">
        <f>G76-H76</f>
        <v>0</v>
      </c>
      <c r="J76" s="28" t="e">
        <f t="shared" si="4"/>
        <v>#DIV/0!</v>
      </c>
      <c r="K76" s="28" t="e">
        <f>ROUND(L76/I76/J76,7)</f>
        <v>#DIV/0!</v>
      </c>
      <c r="L76" s="24"/>
      <c r="M76" s="47">
        <f t="shared" si="11"/>
        <v>-7.8771999999999991E-3</v>
      </c>
      <c r="O76" s="4">
        <f t="shared" si="12"/>
        <v>-1.1610173633380327</v>
      </c>
    </row>
    <row r="77" spans="1:15" hidden="1" x14ac:dyDescent="0.25">
      <c r="A77" s="44"/>
      <c r="B77" s="44"/>
      <c r="C77" s="43"/>
      <c r="D77" s="43"/>
      <c r="E77" s="43"/>
      <c r="F77" s="43"/>
      <c r="G77" s="43"/>
      <c r="H77" s="55" t="s">
        <v>28</v>
      </c>
      <c r="I77" s="59">
        <f>I9+I24+I31+I37+I44+I53+I56+0.01</f>
        <v>67823517.420000002</v>
      </c>
      <c r="J77" s="43"/>
      <c r="K77" s="43"/>
      <c r="L77" s="43">
        <f t="shared" ref="L77" si="17">L9+L24+L31+L37+L44+L53+L56</f>
        <v>63092176.019999996</v>
      </c>
    </row>
    <row r="78" spans="1:15" hidden="1" x14ac:dyDescent="0.25">
      <c r="F78" s="45"/>
      <c r="G78" s="45"/>
      <c r="H78" s="56">
        <v>2</v>
      </c>
      <c r="I78" s="45">
        <f>I10+I16+I22+I25+I32+I38+I45+I50+I60-0.01</f>
        <v>43480566.149999999</v>
      </c>
      <c r="J78" s="45"/>
      <c r="K78" s="45"/>
      <c r="L78" s="45">
        <f t="shared" ref="L78" si="18">L10+L16+L22+L25+L32+L38+L45+L50+L60</f>
        <v>42160883.420000002</v>
      </c>
    </row>
    <row r="79" spans="1:15" hidden="1" x14ac:dyDescent="0.25">
      <c r="H79" s="54">
        <v>3</v>
      </c>
      <c r="I79" s="45">
        <f>I11+I26+I35+I39+I46+I51+I54</f>
        <v>62552337.659999996</v>
      </c>
      <c r="J79" s="45"/>
      <c r="K79" s="45"/>
      <c r="L79" s="45">
        <f t="shared" ref="L79" si="19">L11+L26+L35+L39+L46+L51+L54</f>
        <v>55157018.189999998</v>
      </c>
    </row>
    <row r="80" spans="1:15" hidden="1" x14ac:dyDescent="0.25">
      <c r="H80" s="54">
        <v>4</v>
      </c>
      <c r="I80" s="45">
        <f>I12+I17+I27+I40+I48+I62</f>
        <v>32927033.210000001</v>
      </c>
      <c r="J80" s="45"/>
      <c r="K80" s="45"/>
      <c r="L80" s="45">
        <f t="shared" ref="L80" si="20">L12+L17+L27+L40+L48+L62</f>
        <v>30391412.5</v>
      </c>
    </row>
    <row r="81" spans="2:12" hidden="1" x14ac:dyDescent="0.25">
      <c r="H81" s="54">
        <v>5</v>
      </c>
      <c r="I81" s="45">
        <f>I13+I18+I28+I33+I41+I49</f>
        <v>41918243.729999997</v>
      </c>
      <c r="J81" s="45"/>
      <c r="K81" s="45"/>
      <c r="L81" s="45">
        <f t="shared" ref="L81" si="21">L13+L18+L28+L33+L41</f>
        <v>41175658.990000002</v>
      </c>
    </row>
    <row r="82" spans="2:12" hidden="1" x14ac:dyDescent="0.25">
      <c r="H82" s="54">
        <v>7</v>
      </c>
      <c r="I82" s="45">
        <f>I14+I19+I29+I34+I42+I58+I61</f>
        <v>37152964.089999996</v>
      </c>
      <c r="J82" s="45"/>
      <c r="K82" s="45"/>
      <c r="L82" s="45">
        <f t="shared" ref="L82" si="22">L14+L19+L29+L34+L42+L58+L61</f>
        <v>35048147.57</v>
      </c>
    </row>
    <row r="83" spans="2:12" hidden="1" x14ac:dyDescent="0.25">
      <c r="H83" s="54" t="s">
        <v>29</v>
      </c>
      <c r="I83" s="45">
        <f>I20</f>
        <v>26719968.98</v>
      </c>
      <c r="J83" s="45"/>
      <c r="K83" s="45"/>
      <c r="L83" s="45">
        <f t="shared" ref="L83" si="23">L20</f>
        <v>24288198.550000001</v>
      </c>
    </row>
    <row r="84" spans="2:12" hidden="1" x14ac:dyDescent="0.25">
      <c r="H84" s="54" t="s">
        <v>30</v>
      </c>
      <c r="I84" s="45">
        <f>I70+I72</f>
        <v>98831058.289999992</v>
      </c>
      <c r="J84" s="45"/>
      <c r="K84" s="45"/>
      <c r="L84" s="45">
        <f t="shared" ref="L84" si="24">L70+L72</f>
        <v>93189033.829999998</v>
      </c>
    </row>
    <row r="85" spans="2:12" hidden="1" x14ac:dyDescent="0.25">
      <c r="H85" s="54"/>
    </row>
    <row r="86" spans="2:12" hidden="1" x14ac:dyDescent="0.25">
      <c r="H86" s="54"/>
    </row>
    <row r="87" spans="2:12" hidden="1" x14ac:dyDescent="0.25">
      <c r="H87" s="54" t="s">
        <v>48</v>
      </c>
      <c r="I87" s="45">
        <f>I77+I78+I79+I80+I81+I82+I83</f>
        <v>312574631.24000001</v>
      </c>
      <c r="J87" s="45"/>
      <c r="K87" s="45"/>
      <c r="L87" s="45">
        <f>L77+L78+L79+L80+L81+L82+L83</f>
        <v>291313495.24000001</v>
      </c>
    </row>
    <row r="88" spans="2:12" hidden="1" x14ac:dyDescent="0.25"/>
    <row r="89" spans="2:12" hidden="1" x14ac:dyDescent="0.25"/>
    <row r="91" spans="2:12" x14ac:dyDescent="0.25">
      <c r="B91" s="51"/>
    </row>
  </sheetData>
  <mergeCells count="3">
    <mergeCell ref="F1:J1"/>
    <mergeCell ref="A2:I2"/>
    <mergeCell ref="C4:F4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Приложение № 1 2025г</vt:lpstr>
      <vt:lpstr>Приложение № 1 2026г</vt:lpstr>
      <vt:lpstr>Приложение № 1 2027г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2024-10-30T12:43:21Z</dcterms:modified>
</cp:coreProperties>
</file>